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9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  <sheet name="z10" sheetId="10" r:id="rId10"/>
  </sheets>
  <definedNames>
    <definedName name="_xlnm.Print_Area" localSheetId="1">'Z 2'!$A$1:$Q$571</definedName>
    <definedName name="_xlnm.Print_Area" localSheetId="2">'Z 3 '!$A$1:$G$156</definedName>
    <definedName name="_xlnm.Print_Area" localSheetId="4">'Z 5 '!$A$1:$F$92</definedName>
    <definedName name="_xlnm.Print_Area" localSheetId="0">'Z1'!$A$1:$V$217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<sst xmlns="http://schemas.openxmlformats.org/spreadsheetml/2006/main" count="2268" uniqueCount="819">
  <si>
    <t xml:space="preserve">Zakup rembarki </t>
  </si>
  <si>
    <t xml:space="preserve">Zakup programów komputerowych                 </t>
  </si>
  <si>
    <t xml:space="preserve">Zakup zestawów ratowniczych i fantoma - manekina </t>
  </si>
  <si>
    <t xml:space="preserve">Powiatowy Zarząd Dróg                                      </t>
  </si>
  <si>
    <t xml:space="preserve">Komenda Powiatowa Państwowej Straży Pożarnej                   </t>
  </si>
  <si>
    <t xml:space="preserve">Powiatowy Zarząd Dróg                             </t>
  </si>
  <si>
    <t xml:space="preserve">Powiatowy Zarząd Dróg                                 </t>
  </si>
  <si>
    <t>Ośrodek Szkolno-Wychowawczy dla Dzieci Głuchych</t>
  </si>
  <si>
    <t xml:space="preserve">Zespół Szkół Technicznych          </t>
  </si>
  <si>
    <t>Zakup i montaż regasłów arciwalnych</t>
  </si>
  <si>
    <t>Dofinansowanie do realizacji likwidacji barier architektonicznych na I piętrze w budynku SPZZOD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</si>
  <si>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</si>
  <si>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</si>
  <si>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</si>
  <si>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</si>
  <si>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</si>
  <si>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</si>
  <si>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</si>
  <si>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</si>
  <si>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</si>
  <si>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</si>
  <si>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</si>
  <si>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</si>
  <si>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</si>
  <si>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</si>
  <si>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</si>
  <si>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</si>
  <si>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</si>
  <si>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</si>
  <si>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</si>
  <si>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</si>
  <si>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</si>
  <si>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</si>
  <si>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</si>
  <si>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</si>
  <si>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</si>
  <si>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Środki wymienione w art..3 ust.1pkt 2 i 2a u.f.p</t>
  </si>
  <si>
    <t>Wacław Sapieha</t>
  </si>
  <si>
    <t>DPS w Kowalach Oleckich</t>
  </si>
  <si>
    <t>Plan po zmianach</t>
  </si>
  <si>
    <t>zwiększenie /+/</t>
  </si>
  <si>
    <t>zmniejszenie   /-/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</si>
  <si>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</si>
  <si>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</si>
  <si>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</si>
  <si>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</si>
  <si>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</si>
  <si>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</si>
  <si>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</si>
  <si>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</si>
  <si>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</si>
  <si>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</si>
  <si>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</si>
  <si>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</si>
  <si>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</si>
  <si>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</si>
  <si>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</si>
  <si>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</si>
  <si>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</si>
  <si>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</si>
  <si>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</si>
  <si>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</si>
  <si>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</si>
  <si>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</si>
  <si>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</si>
  <si>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</si>
  <si>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</si>
  <si>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</si>
  <si>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</si>
  <si>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</si>
  <si>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</si>
  <si>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</si>
  <si>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</si>
  <si>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</si>
  <si>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</si>
  <si>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</si>
  <si>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</si>
  <si>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</si>
  <si>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</si>
  <si>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</si>
  <si>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</si>
  <si>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</si>
  <si>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</si>
  <si>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</si>
  <si>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</si>
  <si>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</si>
  <si>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</si>
  <si>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</si>
  <si>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</si>
  <si>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</si>
  <si>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</si>
  <si>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</si>
  <si>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</si>
  <si>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</si>
  <si>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</si>
  <si>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</si>
  <si>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</si>
  <si>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</si>
  <si>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</si>
  <si>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</si>
  <si>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</si>
  <si>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</si>
  <si>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</si>
  <si>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</si>
  <si>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</si>
  <si>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</si>
  <si>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</si>
  <si>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</si>
  <si>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</si>
  <si>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</si>
  <si>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</si>
  <si>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</si>
  <si>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</si>
  <si>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</si>
  <si>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</si>
  <si>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</si>
  <si>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</si>
  <si>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</si>
  <si>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</si>
  <si>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</si>
  <si>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</si>
  <si>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</si>
  <si>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</si>
  <si>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</si>
  <si>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</si>
  <si>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</si>
  <si>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</si>
  <si>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</si>
  <si>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</si>
  <si>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</si>
  <si>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</si>
  <si>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</si>
  <si>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</si>
  <si>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</si>
  <si>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</si>
  <si>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</si>
  <si>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</si>
  <si>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</si>
  <si>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</si>
  <si>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</si>
  <si>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</si>
  <si>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</si>
  <si>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</si>
  <si>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</si>
  <si>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</si>
  <si>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</si>
  <si>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</si>
  <si>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</si>
  <si>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</si>
  <si>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</si>
  <si>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</si>
  <si>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</si>
  <si>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</si>
  <si>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</si>
  <si>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</si>
  <si>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</si>
  <si>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</si>
  <si>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</si>
  <si>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</si>
  <si>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</si>
  <si>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</si>
  <si>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</si>
  <si>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</si>
  <si>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</si>
  <si>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</si>
  <si>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</si>
  <si>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</si>
  <si>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</si>
  <si>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</si>
  <si>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</si>
  <si>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</si>
  <si>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</si>
  <si>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</si>
  <si>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</si>
  <si>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</si>
  <si>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</si>
  <si>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</si>
  <si>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</si>
  <si>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</si>
  <si>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</si>
  <si>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</si>
  <si>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</si>
  <si>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</si>
  <si>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</si>
  <si>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</si>
  <si>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</si>
  <si>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</si>
  <si>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</si>
  <si>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</si>
  <si>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</si>
  <si>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</si>
  <si>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</si>
  <si>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</si>
  <si>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</si>
  <si>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</si>
  <si>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</si>
  <si>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</si>
  <si>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</si>
  <si>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</si>
  <si>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</si>
  <si>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</si>
  <si>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</si>
  <si>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</si>
  <si>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</si>
  <si>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</si>
  <si>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</si>
  <si>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</si>
  <si>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</si>
  <si>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</si>
  <si>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</si>
  <si>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</si>
  <si>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</si>
  <si>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</si>
  <si>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</si>
  <si>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</si>
  <si>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</si>
  <si>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</si>
  <si>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</si>
  <si>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</si>
  <si>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</si>
  <si>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</si>
  <si>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</si>
  <si>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</si>
  <si>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</si>
  <si>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</si>
  <si>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</si>
  <si>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</si>
  <si>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</si>
  <si>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</si>
  <si>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</si>
  <si>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</si>
  <si>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</si>
  <si>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</si>
  <si>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</si>
  <si>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</si>
  <si>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</si>
  <si>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</si>
  <si>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</si>
  <si>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</si>
  <si>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</si>
  <si>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</si>
  <si>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</si>
  <si>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</si>
  <si>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</si>
  <si>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</si>
  <si>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</si>
  <si>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</si>
  <si>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</si>
  <si>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</si>
  <si>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</si>
  <si>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</si>
  <si>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</si>
  <si>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</si>
  <si>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</si>
  <si>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</si>
  <si>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</si>
  <si>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</si>
  <si>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</si>
  <si>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</si>
  <si>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</si>
  <si>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</si>
  <si>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</si>
  <si>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</si>
  <si>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</si>
  <si>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</si>
  <si>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</si>
  <si>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</si>
  <si>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</si>
  <si>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</si>
  <si>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</si>
  <si>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</si>
  <si>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</si>
  <si>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</si>
  <si>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</si>
  <si>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</si>
  <si>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</si>
  <si>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</si>
  <si>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</si>
  <si>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</si>
  <si>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</si>
  <si>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</si>
  <si>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</si>
  <si>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</si>
  <si>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</si>
  <si>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</si>
  <si>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</si>
  <si>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odcinka drogi powiatowej nr 1830N Nieźwiedzki-Wilkasy-Sobole w km 2+930 - km  3+ 400, dł. 0,470 km (rok 2006)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</si>
  <si>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</si>
  <si>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</si>
  <si>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</si>
  <si>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</si>
  <si>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</si>
  <si>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</si>
  <si>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</si>
  <si>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</si>
  <si>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</si>
  <si>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</si>
  <si>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</si>
  <si>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</si>
  <si>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</si>
  <si>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</si>
  <si>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</si>
  <si>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</si>
  <si>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</si>
  <si>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</si>
  <si>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</si>
  <si>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</si>
  <si>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</si>
  <si>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</si>
  <si>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</si>
  <si>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</si>
  <si>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</si>
  <si>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</si>
  <si>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</si>
  <si>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</si>
  <si>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</si>
  <si>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</si>
  <si>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</si>
  <si>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</si>
  <si>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</si>
  <si>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</si>
  <si>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</si>
  <si>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</si>
  <si>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</si>
  <si>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</si>
  <si>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</si>
  <si>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</si>
  <si>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</si>
  <si>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</si>
  <si>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</si>
  <si>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</si>
  <si>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Starostwo Powiatowe                                 w Olecku</t>
  </si>
  <si>
    <t>Starostwo Powiatowe                                  w Olecku</t>
  </si>
  <si>
    <t>Wyposażenia bazy dydaktycznej                                                          i rehabilitacyjnej  (lata 2005-2006)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</si>
  <si>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</si>
  <si>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</si>
  <si>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</si>
  <si>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</si>
  <si>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</si>
  <si>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</si>
  <si>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</si>
  <si>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</si>
  <si>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</si>
  <si>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</si>
  <si>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</si>
  <si>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</si>
  <si>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</si>
  <si>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</si>
  <si>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</si>
  <si>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</si>
  <si>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</si>
  <si>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</si>
  <si>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</si>
  <si>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</si>
  <si>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</si>
  <si>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</si>
  <si>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</si>
  <si>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</si>
  <si>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</si>
  <si>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</si>
  <si>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</si>
  <si>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</si>
  <si>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</si>
  <si>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</si>
  <si>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</si>
  <si>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</si>
  <si>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</si>
  <si>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</si>
  <si>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</si>
  <si>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</si>
  <si>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</si>
  <si>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</si>
  <si>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</si>
  <si>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</si>
  <si>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</si>
  <si>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</si>
  <si>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</si>
  <si>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</si>
  <si>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</si>
  <si>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</si>
  <si>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</si>
  <si>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</si>
  <si>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</si>
  <si>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</si>
  <si>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</si>
  <si>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</si>
  <si>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</si>
  <si>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</si>
  <si>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</si>
  <si>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</si>
  <si>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</si>
  <si>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</si>
  <si>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</si>
  <si>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</si>
  <si>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</si>
  <si>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</si>
  <si>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</si>
  <si>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</si>
  <si>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</si>
  <si>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</si>
  <si>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</si>
  <si>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</si>
  <si>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</si>
  <si>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</si>
  <si>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</si>
  <si>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</si>
  <si>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</si>
  <si>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</si>
  <si>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</si>
  <si>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</si>
  <si>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</si>
  <si>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</si>
  <si>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</si>
  <si>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</si>
  <si>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</si>
  <si>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</si>
  <si>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</si>
  <si>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</si>
  <si>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</si>
  <si>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</si>
  <si>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</si>
  <si>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</si>
  <si>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</si>
  <si>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</si>
  <si>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</si>
  <si>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</si>
  <si>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</si>
  <si>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</si>
  <si>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</si>
  <si>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</si>
  <si>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</si>
  <si>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</si>
  <si>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</si>
  <si>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</si>
  <si>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</si>
  <si>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</si>
  <si>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</si>
  <si>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</si>
  <si>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</si>
  <si>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</si>
  <si>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</si>
  <si>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</si>
  <si>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</si>
  <si>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</si>
  <si>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</si>
  <si>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</si>
  <si>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</si>
  <si>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</si>
  <si>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</si>
  <si>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</si>
  <si>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</si>
  <si>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</si>
  <si>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</si>
  <si>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</si>
  <si>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</si>
  <si>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</si>
  <si>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</si>
  <si>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</si>
  <si>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</si>
  <si>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</si>
  <si>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</si>
  <si>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</si>
  <si>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</si>
  <si>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</si>
  <si>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</si>
  <si>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</si>
  <si>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</si>
  <si>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</si>
  <si>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</si>
  <si>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</si>
  <si>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</si>
  <si>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</si>
  <si>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</si>
  <si>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</si>
  <si>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</si>
  <si>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</si>
  <si>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</si>
  <si>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</si>
  <si>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</si>
  <si>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</si>
  <si>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</si>
  <si>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</si>
  <si>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</si>
  <si>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</si>
  <si>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</si>
  <si>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</si>
  <si>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</si>
  <si>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</si>
  <si>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</si>
  <si>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</si>
  <si>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</si>
  <si>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</si>
  <si>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</si>
  <si>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</si>
  <si>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</si>
  <si>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</si>
  <si>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</si>
  <si>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</si>
  <si>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</si>
  <si>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</si>
  <si>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</si>
  <si>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</si>
  <si>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</si>
  <si>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</si>
  <si>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</si>
  <si>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</si>
  <si>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</si>
  <si>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</si>
  <si>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</si>
  <si>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</si>
  <si>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</si>
  <si>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</si>
  <si>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</si>
  <si>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</si>
  <si>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</si>
  <si>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</si>
  <si>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</si>
  <si>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</si>
  <si>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</si>
  <si>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</si>
  <si>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</si>
  <si>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</si>
  <si>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</si>
  <si>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</si>
  <si>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</si>
  <si>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</si>
  <si>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</si>
  <si>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</si>
  <si>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</si>
  <si>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</si>
  <si>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</si>
  <si>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</si>
  <si>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</si>
  <si>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</si>
  <si>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</si>
  <si>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</si>
  <si>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</si>
  <si>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</si>
  <si>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</si>
  <si>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</si>
  <si>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</si>
  <si>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</si>
  <si>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</si>
  <si>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</si>
  <si>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</si>
  <si>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</si>
  <si>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</si>
  <si>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</si>
  <si>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</si>
  <si>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</si>
  <si>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</si>
  <si>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</si>
  <si>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</si>
  <si>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</si>
  <si>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</si>
  <si>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</si>
  <si>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</si>
  <si>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</si>
  <si>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</si>
  <si>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</si>
  <si>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</si>
  <si>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</si>
  <si>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</si>
  <si>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</si>
  <si>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</si>
  <si>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</si>
  <si>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</si>
  <si>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</si>
  <si>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</si>
  <si>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</si>
  <si>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</si>
  <si>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</si>
  <si>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</si>
  <si>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</si>
  <si>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</si>
  <si>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</si>
  <si>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</si>
  <si>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</si>
  <si>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</si>
  <si>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</si>
  <si>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</si>
  <si>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</si>
  <si>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</si>
  <si>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</si>
  <si>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</si>
  <si>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</si>
  <si>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</si>
  <si>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</si>
  <si>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</si>
  <si>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</si>
  <si>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</si>
  <si>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</si>
  <si>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</si>
  <si>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</si>
  <si>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</si>
  <si>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</si>
  <si>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</si>
  <si>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</si>
  <si>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</si>
  <si>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</si>
  <si>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</si>
  <si>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</si>
  <si>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</si>
  <si>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</si>
  <si>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</si>
  <si>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</si>
  <si>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</si>
  <si>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</si>
  <si>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</si>
  <si>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</si>
  <si>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</si>
  <si>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</si>
  <si>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</si>
  <si>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</si>
  <si>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</si>
  <si>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</si>
  <si>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</si>
  <si>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</si>
  <si>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</si>
  <si>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</si>
  <si>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</si>
  <si>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</si>
  <si>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</si>
  <si>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</si>
  <si>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</si>
  <si>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</si>
  <si>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</si>
  <si>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</si>
  <si>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</si>
  <si>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</si>
  <si>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</si>
  <si>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</si>
  <si>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</si>
  <si>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</si>
  <si>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</si>
  <si>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</si>
  <si>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</si>
  <si>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</si>
  <si>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</si>
  <si>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</si>
  <si>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</si>
  <si>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Poniesione nakłady do końca 2005 roku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</si>
  <si>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</si>
  <si>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</si>
  <si>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</si>
  <si>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</si>
  <si>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</si>
  <si>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Procentowy (%) udział długu w dochodach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</si>
  <si>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</si>
  <si>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</si>
  <si>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</si>
  <si>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</si>
  <si>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</si>
  <si>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</si>
  <si>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</si>
  <si>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</si>
  <si>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</si>
  <si>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</si>
  <si>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</si>
  <si>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</si>
  <si>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</si>
  <si>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</si>
  <si>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</si>
  <si>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</si>
  <si>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</si>
  <si>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</si>
  <si>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</si>
  <si>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</si>
  <si>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</si>
  <si>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</si>
  <si>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</si>
  <si>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</si>
  <si>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</si>
  <si>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</si>
  <si>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</si>
  <si>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</si>
  <si>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</si>
  <si>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</si>
  <si>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</si>
  <si>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</si>
  <si>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</si>
  <si>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</si>
  <si>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</si>
  <si>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</si>
  <si>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</si>
  <si>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</si>
  <si>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</si>
  <si>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</si>
  <si>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</si>
  <si>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</si>
  <si>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</si>
  <si>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</si>
  <si>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</si>
  <si>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</si>
  <si>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</si>
  <si>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</si>
  <si>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</si>
  <si>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</si>
  <si>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</si>
  <si>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</si>
  <si>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</si>
  <si>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</si>
  <si>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</si>
  <si>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</si>
  <si>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</si>
  <si>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</si>
  <si>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</si>
  <si>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</si>
  <si>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</si>
  <si>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</si>
  <si>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</si>
  <si>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</si>
  <si>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Gmina Olecko</t>
  </si>
  <si>
    <t>Wykonanie dokumentacji technicznej i przeniesienie laboratorium wasztatów szkolnych</t>
  </si>
  <si>
    <t>Procentowy (%) udział spłat w dochodach</t>
  </si>
  <si>
    <t>Pożyczki  zaciągnięte w latach poprzednich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</si>
  <si>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</si>
  <si>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</si>
  <si>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</si>
  <si>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</si>
  <si>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Uposaż.żołn.zawod. i nadtermin. oraz funkcjonar.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</si>
  <si>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</si>
  <si>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</si>
  <si>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</si>
  <si>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</si>
  <si>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</si>
  <si>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</si>
  <si>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</si>
  <si>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85117</t>
  </si>
  <si>
    <t>Zakłady opiekuńczo-lecznicze                             i pielęgnacyjno-opiekuńcze</t>
  </si>
  <si>
    <t>6220</t>
  </si>
  <si>
    <t>Dotacje na finansowanie lub dofinansowanie kosztów realizacji inwestycji innych jednostek sektora finansów publicznych</t>
  </si>
  <si>
    <t>wydatki inwestycyjne (§§ 6050,6052,6059,6060,6220)</t>
  </si>
  <si>
    <t>14.</t>
  </si>
  <si>
    <t>18.</t>
  </si>
  <si>
    <t>Urzędy naczelnych organów władzy państwowej, kontroli i ochrony prawa oraz sądownictwa</t>
  </si>
  <si>
    <t>751</t>
  </si>
  <si>
    <t>75109</t>
  </si>
  <si>
    <t>Wybory do rad gmin, rad powiatów, sejmików województw</t>
  </si>
  <si>
    <t>Wybory do rad gmin, rad powiatów i sejmików województw</t>
  </si>
  <si>
    <r>
      <t xml:space="preserve">          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</si>
  <si>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Dot. cel. otrzym. z samorz. woj.. na inwestycje i zakupy inwestycyjne realizowane na podstawie z j.s.t.</t>
  </si>
  <si>
    <t>część oświatowa subw. ogólnej dla jst</t>
  </si>
  <si>
    <t>Zakup zestawu komputerowego</t>
  </si>
  <si>
    <t xml:space="preserve">Zakup kserokopiarki i centrali telefonicznej                                               </t>
  </si>
  <si>
    <t>"Budowa drogi powiatowej nr 40491 Krupin-Wojnasy, etap I przez wieś Markowskie długości 951 m" w ramach ZPORR (lata: 2005-2006)</t>
  </si>
  <si>
    <t>"Przebudowa drogi powiatowej nr 40454Olecko-Świętajno-Dunajek km 7+350 do km 13+000 dł. 5,65 km" w ramach ZPORR (lata 2005-2007)</t>
  </si>
  <si>
    <t xml:space="preserve">Powiatowy Urząd Pracy                                  </t>
  </si>
  <si>
    <t xml:space="preserve">Powiatowy Urząd Pracy                                 </t>
  </si>
  <si>
    <t>Ośr. Szkolno-Wychow. dla Dzieci Głuchych</t>
  </si>
  <si>
    <t xml:space="preserve">Likwidacja barier architekt. i wyposaż. Infrastr. socjalno-bytowej internatu                        </t>
  </si>
  <si>
    <t xml:space="preserve">Przebud.budyn.Warszt.Szkol. ZST na potrzeby PUP i W-M Bibliot. Pedag.  Filia w Olecku </t>
  </si>
  <si>
    <t xml:space="preserve">Uposaż.żołnierzy zawodowych                              i nadterminow. oraz funkcjonar. </t>
  </si>
  <si>
    <t>Nazwa jednostki</t>
  </si>
  <si>
    <t>rozdział</t>
  </si>
  <si>
    <t>kwota dotacji</t>
  </si>
  <si>
    <t>Liceum Ogólnokształcące dla Dorosłych</t>
  </si>
  <si>
    <t>Liceum Ekonomiczne, Policealne Studium Zawodowe, Technikum</t>
  </si>
  <si>
    <t>Wyrównanie  z tyt.rozliczenia dotacji za 2002rok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</si>
  <si>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</si>
  <si>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</si>
  <si>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</si>
  <si>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</si>
  <si>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</si>
  <si>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</si>
  <si>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</si>
  <si>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</si>
  <si>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</si>
  <si>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</si>
  <si>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 xml:space="preserve">Zakład Doskonalenia Zawodowego                                w Białymstoku </t>
  </si>
  <si>
    <t>Centrum Edukacji i Rozwoju Zawodowego                                w Olecku</t>
  </si>
  <si>
    <t>Dotacje dla niepublicznych przedszkoli, szkół i placówek                                 oświatowo - wychowawczych w roku 2006</t>
  </si>
  <si>
    <t>Zakup samochodu</t>
  </si>
  <si>
    <t>2760</t>
  </si>
  <si>
    <t>środki na uzupełnienie dochodów</t>
  </si>
  <si>
    <t>wpływy z tytułu pomocy finansowej udzielanej między j.s.t. na dofinansowanie własnych zadań inwestycyjnych i zakupoów inwestycyjnych</t>
  </si>
  <si>
    <t xml:space="preserve">Powiatowy Fundusz Zasobem Geodezyjnym i Kartograficznym </t>
  </si>
  <si>
    <t>dotacje na realizację zadań bieżących jednostek sektora  finansów publicznych</t>
  </si>
  <si>
    <t>4590</t>
  </si>
  <si>
    <t xml:space="preserve">                                                                  Przewodniczący Rady Powiatu: </t>
  </si>
  <si>
    <t xml:space="preserve">Przewodniczący Rady Powiatu: </t>
  </si>
  <si>
    <t>Lp</t>
  </si>
  <si>
    <t>Stan środków pieniężnych  na początku roku</t>
  </si>
  <si>
    <t xml:space="preserve">Wydatki  </t>
  </si>
  <si>
    <t>Stan środków pieniężnych  na koniec roku</t>
  </si>
  <si>
    <t>Dochody własne ogółem,                            w tym:</t>
  </si>
  <si>
    <t>Zespół Szkół Technicznych w Olecku</t>
  </si>
  <si>
    <t>Zespół Szkół Licealnych i Zawod. w Olecku</t>
  </si>
  <si>
    <t>Ośrodek Szkolno-Wychowawczy  w Olecku</t>
  </si>
  <si>
    <t>Dom Dziecka w Olecku</t>
  </si>
  <si>
    <t>Plan przychodów i wydatków dochodów własnych jednostek budżetowych na  2006 rok</t>
  </si>
  <si>
    <t>Komenda Powiatowa Państwowej Straży Pożarnej w Olecku</t>
  </si>
  <si>
    <t>Prognoza kwoty długu powiatu na lata 2005 - 2016</t>
  </si>
  <si>
    <t xml:space="preserve">Zakup wyposażenia </t>
  </si>
  <si>
    <t>Dot. cel. przek. dla powiatu na zad. bieżące</t>
  </si>
  <si>
    <t>Marian Świerszcz</t>
  </si>
  <si>
    <r>
      <t xml:space="preserve">                                                                 </t>
    </r>
    <r>
      <rPr>
        <sz val="8"/>
        <rFont val="Arial CE"/>
        <family val="2"/>
      </rPr>
      <t xml:space="preserve">       Marian Świerszcz</t>
    </r>
  </si>
  <si>
    <t xml:space="preserve">    Przewodniczący Rady Powiatu</t>
  </si>
  <si>
    <t xml:space="preserve">                    Przewodniczący Rady Powiatu:   Marian Świerszcz  </t>
  </si>
  <si>
    <t xml:space="preserve">          Marian Świerszcz</t>
  </si>
  <si>
    <t>6000</t>
  </si>
  <si>
    <t>1084</t>
  </si>
  <si>
    <t>147</t>
  </si>
  <si>
    <t>7231</t>
  </si>
  <si>
    <t>Kredyty do zaciągnięcia w roku budżetowym 2007</t>
  </si>
  <si>
    <t>Spłata kredytów  zaciągniętych w  roku budżetowym 2007</t>
  </si>
  <si>
    <t>Przebudowa wejścia głównego oraz zakup i montaż platformy do przewozu osób niepełnosprawnych</t>
  </si>
  <si>
    <t>6299</t>
  </si>
  <si>
    <t>środki na dofinansowanie własnych inwestycji powiatów pozyskane z innych źródeł</t>
  </si>
  <si>
    <t xml:space="preserve"> Załącznik Nr 1 do Uchwały Rady Powiatu w Olecku Nr III /19/06 z dnia 28 grudnia 2006r.</t>
  </si>
  <si>
    <t>Załącznik Nr 2 do Uchwały Rady Powiatu w Olecku                                                Nr III/19 /06  z dnia 28 grudnia 2006 roku</t>
  </si>
  <si>
    <t xml:space="preserve">Załącznik nr 3 do Uchwały Rady Powiatu                                             w Olecku Nr III/19/06  z dnia 28 grudnia 2006r. </t>
  </si>
  <si>
    <r>
      <t>Załącznik nr 4 do Uchwały Rady Powiatu                   w Olecku Nr</t>
    </r>
    <r>
      <rPr>
        <b/>
        <sz val="8"/>
        <rFont val="Arial CE"/>
        <family val="2"/>
      </rPr>
      <t xml:space="preserve"> III/19/06</t>
    </r>
    <r>
      <rPr>
        <sz val="8"/>
        <rFont val="Arial CE"/>
        <family val="2"/>
      </rPr>
      <t xml:space="preserve"> z dnia 28 grudnia 2006r.</t>
    </r>
  </si>
  <si>
    <r>
      <t>Załącznik Nr 5 do Uchwały Rady Powiatuw Olecku Nr III</t>
    </r>
    <r>
      <rPr>
        <b/>
        <sz val="8"/>
        <rFont val="Arial CE"/>
        <family val="2"/>
      </rPr>
      <t>/19/06</t>
    </r>
    <r>
      <rPr>
        <sz val="8"/>
        <rFont val="Arial CE"/>
        <family val="2"/>
      </rPr>
      <t xml:space="preserve"> z dnia 28 grudnia 2006r.</t>
    </r>
  </si>
  <si>
    <r>
      <t>Załącznik nr 6 do Uchwały Rady Powiatu w Olecku Nr</t>
    </r>
    <r>
      <rPr>
        <b/>
        <sz val="7"/>
        <rFont val="Arial CE"/>
        <family val="2"/>
      </rPr>
      <t xml:space="preserve"> III /19/06</t>
    </r>
    <r>
      <rPr>
        <b/>
        <sz val="7"/>
        <rFont val="Arial CE"/>
        <family val="0"/>
      </rPr>
      <t xml:space="preserve"> z dnia 28 grudnia 2006r.</t>
    </r>
  </si>
  <si>
    <t>Załącznik nr 7 do Uchwały Rady Powiatu w Olecku Nr III/19/06 z dnia 28 grudnia 2006r.</t>
  </si>
  <si>
    <r>
      <t>Załącznik Nr 8 do Uchwały Rady Powiatu w Olecku                                            Nr</t>
    </r>
    <r>
      <rPr>
        <b/>
        <sz val="8"/>
        <rFont val="Arial CE"/>
        <family val="2"/>
      </rPr>
      <t xml:space="preserve"> III/19/06</t>
    </r>
    <r>
      <rPr>
        <sz val="8"/>
        <rFont val="Arial CE"/>
        <family val="0"/>
      </rPr>
      <t xml:space="preserve"> z dnia  28 grudnia 2006 roku</t>
    </r>
  </si>
  <si>
    <t>Załącznik nr 9 do Uchwały Rady Powiatu Nr III/19 /06   z dnia 28 grudnia 2006 r.</t>
  </si>
  <si>
    <t>Załącznik Nr 10 do Uchwały Rady Powiatu w Olecku Nr III/19/06 z dnia 28 grudnia 2006r.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</si>
</sst>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  <numFmt numFmtId="174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4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  <xf numFmtId="0" fontId="10" fillId="2" borderId="2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12" fillId="0" borderId="36" xfId="0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4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7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0" fontId="4" fillId="6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/>
    </xf>
    <xf numFmtId="0" fontId="0" fillId="8" borderId="9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7" xfId="0" applyFont="1" applyBorder="1" applyAlignment="1">
      <alignment wrapText="1"/>
    </xf>
    <xf numFmtId="0" fontId="16" fillId="0" borderId="37" xfId="0" applyFont="1" applyBorder="1" applyAlignment="1">
      <alignment/>
    </xf>
    <xf numFmtId="0" fontId="4" fillId="6" borderId="29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5" fillId="5" borderId="10" xfId="0" applyNumberFormat="1" applyFont="1" applyFill="1" applyBorder="1" applyAlignment="1">
      <alignment/>
    </xf>
    <xf numFmtId="0" fontId="17" fillId="0" borderId="7" xfId="0" applyFont="1" applyBorder="1" applyAlignment="1">
      <alignment horizontal="center" wrapText="1"/>
    </xf>
    <xf numFmtId="4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39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24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4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7" xfId="0" applyNumberForma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wrapText="1"/>
    </xf>
    <xf numFmtId="0" fontId="4" fillId="7" borderId="4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65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1" fillId="8" borderId="42" xfId="0" applyFont="1" applyFill="1" applyBorder="1" applyAlignment="1">
      <alignment/>
    </xf>
    <xf numFmtId="0" fontId="0" fillId="8" borderId="42" xfId="0" applyFill="1" applyBorder="1" applyAlignment="1">
      <alignment/>
    </xf>
    <xf numFmtId="165" fontId="8" fillId="8" borderId="42" xfId="0" applyNumberFormat="1" applyFont="1" applyFill="1" applyBorder="1" applyAlignment="1">
      <alignment/>
    </xf>
    <xf numFmtId="164" fontId="8" fillId="8" borderId="42" xfId="0" applyNumberFormat="1" applyFont="1" applyFill="1" applyBorder="1" applyAlignment="1">
      <alignment/>
    </xf>
    <xf numFmtId="2" fontId="4" fillId="8" borderId="42" xfId="0" applyNumberFormat="1" applyFont="1" applyFill="1" applyBorder="1" applyAlignment="1">
      <alignment/>
    </xf>
    <xf numFmtId="10" fontId="4" fillId="8" borderId="42" xfId="0" applyNumberFormat="1" applyFont="1" applyFill="1" applyBorder="1" applyAlignment="1">
      <alignment/>
    </xf>
    <xf numFmtId="0" fontId="4" fillId="8" borderId="42" xfId="0" applyFont="1" applyFill="1" applyBorder="1" applyAlignment="1">
      <alignment/>
    </xf>
    <xf numFmtId="0" fontId="4" fillId="8" borderId="42" xfId="0" applyNumberFormat="1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0" borderId="7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4" fillId="6" borderId="12" xfId="0" applyFont="1" applyFill="1" applyBorder="1" applyAlignment="1">
      <alignment horizontal="right"/>
    </xf>
    <xf numFmtId="0" fontId="4" fillId="6" borderId="4" xfId="0" applyFont="1" applyFill="1" applyBorder="1" applyAlignment="1">
      <alignment/>
    </xf>
    <xf numFmtId="49" fontId="4" fillId="6" borderId="4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10" fontId="9" fillId="6" borderId="4" xfId="0" applyNumberFormat="1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9" fillId="10" borderId="24" xfId="0" applyFont="1" applyFill="1" applyBorder="1" applyAlignment="1">
      <alignment/>
    </xf>
    <xf numFmtId="0" fontId="7" fillId="6" borderId="24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6" borderId="1" xfId="0" applyNumberFormat="1" applyFont="1" applyFill="1" applyBorder="1" applyAlignment="1">
      <alignment/>
    </xf>
    <xf numFmtId="0" fontId="7" fillId="6" borderId="24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7" fillId="6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38" xfId="0" applyFont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1" fontId="15" fillId="8" borderId="2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29" xfId="0" applyFill="1" applyBorder="1" applyAlignment="1">
      <alignment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29" xfId="0" applyFill="1" applyBorder="1" applyAlignment="1">
      <alignment/>
    </xf>
    <xf numFmtId="0" fontId="4" fillId="9" borderId="29" xfId="0" applyFont="1" applyFill="1" applyBorder="1" applyAlignment="1">
      <alignment/>
    </xf>
    <xf numFmtId="0" fontId="4" fillId="9" borderId="44" xfId="0" applyFont="1" applyFill="1" applyBorder="1" applyAlignment="1">
      <alignment horizontal="center"/>
    </xf>
    <xf numFmtId="0" fontId="0" fillId="9" borderId="45" xfId="0" applyFill="1" applyBorder="1" applyAlignment="1">
      <alignment/>
    </xf>
    <xf numFmtId="0" fontId="0" fillId="9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6" borderId="29" xfId="0" applyFont="1" applyFill="1" applyBorder="1" applyAlignment="1">
      <alignment/>
    </xf>
    <xf numFmtId="0" fontId="10" fillId="10" borderId="1" xfId="0" applyFont="1" applyFill="1" applyBorder="1" applyAlignment="1">
      <alignment wrapText="1"/>
    </xf>
    <xf numFmtId="165" fontId="7" fillId="10" borderId="1" xfId="0" applyNumberFormat="1" applyFont="1" applyFill="1" applyBorder="1" applyAlignment="1">
      <alignment/>
    </xf>
    <xf numFmtId="164" fontId="7" fillId="10" borderId="1" xfId="0" applyNumberFormat="1" applyFont="1" applyFill="1" applyBorder="1" applyAlignment="1">
      <alignment/>
    </xf>
    <xf numFmtId="2" fontId="7" fillId="10" borderId="1" xfId="0" applyNumberFormat="1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/>
    </xf>
    <xf numFmtId="0" fontId="0" fillId="9" borderId="13" xfId="0" applyFill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165" fontId="9" fillId="9" borderId="1" xfId="0" applyNumberFormat="1" applyFont="1" applyFill="1" applyBorder="1" applyAlignment="1">
      <alignment/>
    </xf>
    <xf numFmtId="164" fontId="9" fillId="9" borderId="1" xfId="0" applyNumberFormat="1" applyFont="1" applyFill="1" applyBorder="1" applyAlignment="1">
      <alignment/>
    </xf>
    <xf numFmtId="2" fontId="9" fillId="9" borderId="1" xfId="0" applyNumberFormat="1" applyFont="1" applyFill="1" applyBorder="1" applyAlignment="1">
      <alignment/>
    </xf>
    <xf numFmtId="10" fontId="9" fillId="9" borderId="1" xfId="0" applyNumberFormat="1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9" fillId="9" borderId="24" xfId="0" applyFont="1" applyFill="1" applyBorder="1" applyAlignment="1">
      <alignment/>
    </xf>
    <xf numFmtId="0" fontId="9" fillId="9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10" borderId="1" xfId="0" applyFont="1" applyFill="1" applyBorder="1" applyAlignment="1">
      <alignment wrapText="1"/>
    </xf>
    <xf numFmtId="0" fontId="12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10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/>
    </xf>
    <xf numFmtId="165" fontId="12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4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9" fillId="2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/>
    </xf>
    <xf numFmtId="0" fontId="0" fillId="0" borderId="0" xfId="0" applyFont="1" applyAlignment="1">
      <alignment horizontal="center" shrinkToFi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52" xfId="0" applyFont="1" applyBorder="1" applyAlignment="1">
      <alignment/>
    </xf>
    <xf numFmtId="10" fontId="10" fillId="6" borderId="47" xfId="0" applyNumberFormat="1" applyFont="1" applyFill="1" applyBorder="1" applyAlignment="1">
      <alignment/>
    </xf>
    <xf numFmtId="10" fontId="10" fillId="6" borderId="51" xfId="0" applyNumberFormat="1" applyFont="1" applyFill="1" applyBorder="1" applyAlignment="1">
      <alignment/>
    </xf>
    <xf numFmtId="10" fontId="10" fillId="6" borderId="29" xfId="0" applyNumberFormat="1" applyFont="1" applyFill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51" xfId="0" applyNumberFormat="1" applyFont="1" applyBorder="1" applyAlignment="1">
      <alignment/>
    </xf>
    <xf numFmtId="0" fontId="10" fillId="0" borderId="47" xfId="0" applyNumberFormat="1" applyFont="1" applyBorder="1" applyAlignment="1">
      <alignment/>
    </xf>
    <xf numFmtId="0" fontId="12" fillId="0" borderId="29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8" xfId="0" applyFont="1" applyBorder="1" applyAlignment="1">
      <alignment/>
    </xf>
    <xf numFmtId="0" fontId="10" fillId="6" borderId="7" xfId="0" applyFont="1" applyFill="1" applyBorder="1" applyAlignment="1">
      <alignment/>
    </xf>
    <xf numFmtId="10" fontId="10" fillId="0" borderId="1" xfId="0" applyNumberFormat="1" applyFont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7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0" fillId="0" borderId="22" xfId="0" applyNumberFormat="1" applyBorder="1" applyAlignment="1">
      <alignment horizontal="left"/>
    </xf>
    <xf numFmtId="49" fontId="0" fillId="0" borderId="24" xfId="0" applyNumberFormat="1" applyBorder="1" applyAlignment="1">
      <alignment horizontal="left" wrapText="1"/>
    </xf>
    <xf numFmtId="49" fontId="0" fillId="0" borderId="53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12" fillId="9" borderId="23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22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5" borderId="38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6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0" fillId="8" borderId="38" xfId="0" applyFont="1" applyFill="1" applyBorder="1" applyAlignment="1">
      <alignment horizontal="center"/>
    </xf>
    <xf numFmtId="0" fontId="10" fillId="8" borderId="59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1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left" wrapText="1"/>
    </xf>
    <xf numFmtId="0" fontId="10" fillId="6" borderId="43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6" borderId="54" xfId="0" applyFont="1" applyFill="1" applyBorder="1" applyAlignment="1">
      <alignment horizontal="center" wrapText="1"/>
    </xf>
    <xf numFmtId="0" fontId="4" fillId="6" borderId="68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3"/>
  <sheetViews>
    <sheetView workbookViewId="0" topLeftCell="B1">
      <selection activeCell="C1" sqref="C1:V2"/>
    </sheetView>
  </sheetViews>
  <sheetFormatPr defaultColWidth="9.00390625" defaultRowHeight="12.75"/>
  <cols>
    <col min="1" max="1" width="4.375" style="71" customWidth="1"/>
    <col min="2" max="2" width="30.25390625" style="0" customWidth="1"/>
    <col min="3" max="3" width="6.75390625" style="0" customWidth="1"/>
    <col min="4" max="4" width="8.375" style="0" customWidth="1"/>
    <col min="5" max="5" width="8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32" customFormat="1" ht="15.75" customHeight="1">
      <c r="A1" s="137"/>
      <c r="C1" s="608" t="s">
        <v>809</v>
      </c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</row>
    <row r="2" spans="1:22" s="132" customFormat="1" ht="12.75" customHeight="1">
      <c r="A2" s="137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</row>
    <row r="3" spans="1:22" s="132" customFormat="1" ht="15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s="197" customFormat="1" ht="24" customHeight="1">
      <c r="A4" s="199" t="s">
        <v>740</v>
      </c>
      <c r="B4" s="483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198"/>
    </row>
    <row r="5" spans="1:22" s="132" customFormat="1" ht="8.2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132" customFormat="1" ht="13.5" customHeight="1">
      <c r="A6" s="615" t="s">
        <v>569</v>
      </c>
      <c r="B6" s="618" t="s">
        <v>202</v>
      </c>
      <c r="C6" s="618" t="s">
        <v>516</v>
      </c>
      <c r="D6" s="618"/>
      <c r="E6" s="618"/>
      <c r="F6" s="213"/>
      <c r="G6" s="213"/>
      <c r="H6" s="213"/>
      <c r="I6" s="213"/>
      <c r="J6" s="212"/>
      <c r="K6" s="214"/>
      <c r="L6" s="214"/>
      <c r="M6" s="618" t="s">
        <v>572</v>
      </c>
      <c r="N6" s="621" t="s">
        <v>90</v>
      </c>
      <c r="O6" s="621"/>
      <c r="P6" s="609" t="s">
        <v>123</v>
      </c>
      <c r="Q6" s="622" t="s">
        <v>195</v>
      </c>
      <c r="R6" s="622" t="s">
        <v>196</v>
      </c>
      <c r="S6" s="609" t="s">
        <v>591</v>
      </c>
      <c r="T6" s="613" t="s">
        <v>195</v>
      </c>
      <c r="U6" s="604" t="s">
        <v>196</v>
      </c>
      <c r="V6" s="604" t="s">
        <v>39</v>
      </c>
    </row>
    <row r="7" spans="1:23" s="132" customFormat="1" ht="18.75" customHeight="1">
      <c r="A7" s="616"/>
      <c r="B7" s="619"/>
      <c r="C7" s="619"/>
      <c r="D7" s="619"/>
      <c r="E7" s="619"/>
      <c r="F7" s="591" t="s">
        <v>673</v>
      </c>
      <c r="G7" s="606" t="s">
        <v>207</v>
      </c>
      <c r="H7" s="606" t="s">
        <v>674</v>
      </c>
      <c r="I7" s="134" t="s">
        <v>675</v>
      </c>
      <c r="J7" s="133"/>
      <c r="K7" s="606" t="s">
        <v>676</v>
      </c>
      <c r="L7" s="606" t="s">
        <v>677</v>
      </c>
      <c r="M7" s="619"/>
      <c r="N7" s="606" t="s">
        <v>88</v>
      </c>
      <c r="O7" s="606" t="s">
        <v>89</v>
      </c>
      <c r="P7" s="606"/>
      <c r="Q7" s="623"/>
      <c r="R7" s="623"/>
      <c r="S7" s="606"/>
      <c r="T7" s="614"/>
      <c r="U7" s="605"/>
      <c r="V7" s="605"/>
      <c r="W7" s="227"/>
    </row>
    <row r="8" spans="1:23" s="132" customFormat="1" ht="7.5" customHeight="1">
      <c r="A8" s="616"/>
      <c r="B8" s="619"/>
      <c r="C8" s="619"/>
      <c r="D8" s="619"/>
      <c r="E8" s="619"/>
      <c r="F8" s="591"/>
      <c r="G8" s="606"/>
      <c r="H8" s="606"/>
      <c r="I8" s="606" t="s">
        <v>678</v>
      </c>
      <c r="J8" s="135"/>
      <c r="K8" s="606"/>
      <c r="L8" s="606"/>
      <c r="M8" s="619"/>
      <c r="N8" s="606"/>
      <c r="O8" s="606"/>
      <c r="P8" s="606"/>
      <c r="Q8" s="623"/>
      <c r="R8" s="623"/>
      <c r="S8" s="606"/>
      <c r="T8" s="614"/>
      <c r="U8" s="605"/>
      <c r="V8" s="605"/>
      <c r="W8" s="227"/>
    </row>
    <row r="9" spans="1:22" s="227" customFormat="1" ht="19.5" customHeight="1" thickBot="1">
      <c r="A9" s="617"/>
      <c r="B9" s="367" t="s">
        <v>679</v>
      </c>
      <c r="C9" s="367" t="s">
        <v>680</v>
      </c>
      <c r="D9" s="373" t="s">
        <v>522</v>
      </c>
      <c r="E9" s="367" t="s">
        <v>204</v>
      </c>
      <c r="F9" s="589"/>
      <c r="G9" s="607"/>
      <c r="H9" s="607"/>
      <c r="I9" s="607"/>
      <c r="J9" s="374"/>
      <c r="K9" s="607"/>
      <c r="L9" s="607"/>
      <c r="M9" s="620"/>
      <c r="N9" s="607"/>
      <c r="O9" s="607"/>
      <c r="P9" s="607"/>
      <c r="Q9" s="624"/>
      <c r="R9" s="624"/>
      <c r="S9" s="607"/>
      <c r="T9" s="614"/>
      <c r="U9" s="605"/>
      <c r="V9" s="605"/>
    </row>
    <row r="10" spans="1:22" s="227" customFormat="1" ht="13.5" thickBot="1">
      <c r="A10" s="386">
        <v>1</v>
      </c>
      <c r="B10" s="387">
        <v>2</v>
      </c>
      <c r="C10" s="387">
        <v>3</v>
      </c>
      <c r="D10" s="387">
        <v>4</v>
      </c>
      <c r="E10" s="387">
        <v>5</v>
      </c>
      <c r="F10" s="387">
        <v>6</v>
      </c>
      <c r="G10" s="387">
        <v>6</v>
      </c>
      <c r="H10" s="387">
        <v>8</v>
      </c>
      <c r="I10" s="387">
        <v>9</v>
      </c>
      <c r="J10" s="388"/>
      <c r="K10" s="387">
        <v>7</v>
      </c>
      <c r="L10" s="387">
        <v>8</v>
      </c>
      <c r="M10" s="387">
        <v>6</v>
      </c>
      <c r="N10" s="387">
        <v>7</v>
      </c>
      <c r="O10" s="387">
        <v>8</v>
      </c>
      <c r="P10" s="387">
        <v>6</v>
      </c>
      <c r="Q10" s="387">
        <v>7</v>
      </c>
      <c r="R10" s="387">
        <v>8</v>
      </c>
      <c r="S10" s="389">
        <v>6</v>
      </c>
      <c r="T10" s="416">
        <v>7</v>
      </c>
      <c r="U10" s="387">
        <v>8</v>
      </c>
      <c r="V10" s="390">
        <v>9</v>
      </c>
    </row>
    <row r="11" spans="1:27" ht="17.25" customHeight="1">
      <c r="A11" s="375" t="s">
        <v>581</v>
      </c>
      <c r="B11" s="376" t="s">
        <v>681</v>
      </c>
      <c r="C11" s="377" t="s">
        <v>213</v>
      </c>
      <c r="D11" s="378"/>
      <c r="E11" s="379"/>
      <c r="F11" s="380" t="e">
        <f>F12+#REF!</f>
        <v>#REF!</v>
      </c>
      <c r="G11" s="381" t="e">
        <f>G12+#REF!</f>
        <v>#REF!</v>
      </c>
      <c r="H11" s="382" t="e">
        <f>IF(F11&gt;0,G11/F11*100,"")</f>
        <v>#REF!</v>
      </c>
      <c r="I11" s="383" t="e">
        <f>F11/F85</f>
        <v>#REF!</v>
      </c>
      <c r="J11" s="384"/>
      <c r="K11" s="384" t="e">
        <f>K12+#REF!</f>
        <v>#REF!</v>
      </c>
      <c r="L11" s="384" t="e">
        <f>L12+#REF!</f>
        <v>#REF!</v>
      </c>
      <c r="M11" s="385" t="e">
        <f>M12+#REF!+#REF!</f>
        <v>#REF!</v>
      </c>
      <c r="N11" s="385" t="e">
        <f>N12+#REF!+#REF!</f>
        <v>#REF!</v>
      </c>
      <c r="O11" s="385" t="e">
        <f>O12+#REF!+#REF!</f>
        <v>#REF!</v>
      </c>
      <c r="P11" s="385" t="e">
        <f>P12+#REF!+#REF!</f>
        <v>#REF!</v>
      </c>
      <c r="Q11" s="385" t="e">
        <f>Q12+#REF!+#REF!</f>
        <v>#REF!</v>
      </c>
      <c r="R11" s="385" t="e">
        <f>R12+#REF!+#REF!</f>
        <v>#REF!</v>
      </c>
      <c r="S11" s="385">
        <f>S12+S14+S16+S18</f>
        <v>113922</v>
      </c>
      <c r="T11" s="385">
        <f>T12+T14+T16+T18</f>
        <v>20</v>
      </c>
      <c r="U11" s="385">
        <f>U12+U14+U16+U18</f>
        <v>12625</v>
      </c>
      <c r="V11" s="385">
        <f>V12+V14+V16+V18</f>
        <v>101317</v>
      </c>
      <c r="W11" s="34"/>
      <c r="X11" s="34"/>
      <c r="Y11" s="34"/>
      <c r="Z11" s="34"/>
      <c r="AA11" s="34"/>
    </row>
    <row r="12" spans="1:22" ht="24" customHeight="1">
      <c r="A12" s="371" t="s">
        <v>682</v>
      </c>
      <c r="B12" s="488" t="s">
        <v>528</v>
      </c>
      <c r="C12" s="321"/>
      <c r="D12" s="320" t="s">
        <v>258</v>
      </c>
      <c r="E12" s="317"/>
      <c r="F12" s="313">
        <v>0</v>
      </c>
      <c r="G12" s="314">
        <v>37400</v>
      </c>
      <c r="H12" s="315">
        <f>IF(F12&gt;0,G12/F12*100,"")</f>
      </c>
      <c r="I12" s="316">
        <f>F12/F85</f>
        <v>0</v>
      </c>
      <c r="J12" s="317"/>
      <c r="K12" s="317">
        <v>0</v>
      </c>
      <c r="L12" s="317">
        <v>0</v>
      </c>
      <c r="M12" s="317">
        <v>44000</v>
      </c>
      <c r="N12" s="317">
        <v>0</v>
      </c>
      <c r="O12" s="317">
        <v>0</v>
      </c>
      <c r="P12" s="317">
        <v>45000</v>
      </c>
      <c r="Q12" s="317">
        <v>0</v>
      </c>
      <c r="R12" s="317">
        <v>0</v>
      </c>
      <c r="S12" s="317">
        <f>S13</f>
        <v>30000</v>
      </c>
      <c r="T12" s="317">
        <f>T13</f>
        <v>0</v>
      </c>
      <c r="U12" s="405">
        <f>U13</f>
        <v>0</v>
      </c>
      <c r="V12" s="317">
        <f>V13</f>
        <v>30000</v>
      </c>
    </row>
    <row r="13" spans="1:22" ht="21" customHeight="1">
      <c r="A13" s="216"/>
      <c r="B13" s="107" t="s">
        <v>98</v>
      </c>
      <c r="C13" s="13"/>
      <c r="D13" s="13"/>
      <c r="E13" s="276">
        <v>2110</v>
      </c>
      <c r="F13" s="272"/>
      <c r="G13" s="273"/>
      <c r="H13" s="274"/>
      <c r="I13" s="275"/>
      <c r="J13" s="192"/>
      <c r="K13" s="192"/>
      <c r="L13" s="192"/>
      <c r="M13" s="192"/>
      <c r="N13" s="192"/>
      <c r="O13" s="192"/>
      <c r="P13" s="192"/>
      <c r="Q13" s="192"/>
      <c r="R13" s="192"/>
      <c r="S13" s="192">
        <v>30000</v>
      </c>
      <c r="T13" s="193">
        <v>0</v>
      </c>
      <c r="U13" s="193">
        <v>0</v>
      </c>
      <c r="V13" s="279">
        <f>S13+T13-U13</f>
        <v>30000</v>
      </c>
    </row>
    <row r="14" spans="1:22" ht="22.5" customHeight="1">
      <c r="A14" s="371" t="s">
        <v>686</v>
      </c>
      <c r="B14" s="486" t="s">
        <v>717</v>
      </c>
      <c r="C14" s="320"/>
      <c r="D14" s="320" t="s">
        <v>718</v>
      </c>
      <c r="E14" s="322"/>
      <c r="F14" s="313"/>
      <c r="G14" s="314"/>
      <c r="H14" s="315"/>
      <c r="I14" s="316"/>
      <c r="J14" s="317"/>
      <c r="K14" s="317"/>
      <c r="L14" s="317"/>
      <c r="M14" s="317"/>
      <c r="N14" s="317"/>
      <c r="O14" s="317"/>
      <c r="P14" s="317"/>
      <c r="Q14" s="317"/>
      <c r="R14" s="317"/>
      <c r="S14" s="317">
        <f>S15</f>
        <v>25851</v>
      </c>
      <c r="T14" s="317">
        <f>T15</f>
        <v>0</v>
      </c>
      <c r="U14" s="317">
        <f>U15</f>
        <v>12625</v>
      </c>
      <c r="V14" s="319">
        <f>S14+T14-U14</f>
        <v>13226</v>
      </c>
    </row>
    <row r="15" spans="1:22" ht="33" customHeight="1">
      <c r="A15" s="216"/>
      <c r="B15" s="107" t="s">
        <v>719</v>
      </c>
      <c r="C15" s="13"/>
      <c r="D15" s="13"/>
      <c r="E15" s="276">
        <v>2700</v>
      </c>
      <c r="F15" s="272"/>
      <c r="G15" s="273"/>
      <c r="H15" s="274"/>
      <c r="I15" s="275"/>
      <c r="J15" s="192"/>
      <c r="K15" s="192"/>
      <c r="L15" s="192"/>
      <c r="M15" s="192"/>
      <c r="N15" s="192"/>
      <c r="O15" s="192"/>
      <c r="P15" s="192"/>
      <c r="Q15" s="192"/>
      <c r="R15" s="192"/>
      <c r="S15" s="192">
        <v>25851</v>
      </c>
      <c r="T15" s="193">
        <v>0</v>
      </c>
      <c r="U15" s="193">
        <v>12625</v>
      </c>
      <c r="V15" s="279">
        <f>S15+T15-U15</f>
        <v>13226</v>
      </c>
    </row>
    <row r="16" spans="1:22" ht="15" customHeight="1">
      <c r="A16" s="371" t="s">
        <v>18</v>
      </c>
      <c r="B16" s="486" t="s">
        <v>320</v>
      </c>
      <c r="C16" s="320"/>
      <c r="D16" s="320" t="s">
        <v>321</v>
      </c>
      <c r="E16" s="322"/>
      <c r="F16" s="313"/>
      <c r="G16" s="314"/>
      <c r="H16" s="315"/>
      <c r="I16" s="316"/>
      <c r="J16" s="317"/>
      <c r="K16" s="317"/>
      <c r="L16" s="317"/>
      <c r="M16" s="317"/>
      <c r="N16" s="317"/>
      <c r="O16" s="317"/>
      <c r="P16" s="317"/>
      <c r="Q16" s="317"/>
      <c r="R16" s="317"/>
      <c r="S16" s="317">
        <f>S17</f>
        <v>57651</v>
      </c>
      <c r="T16" s="317">
        <f>T17</f>
        <v>0</v>
      </c>
      <c r="U16" s="405">
        <f>U17</f>
        <v>0</v>
      </c>
      <c r="V16" s="317">
        <f>V17</f>
        <v>57651</v>
      </c>
    </row>
    <row r="17" spans="1:22" ht="21" customHeight="1">
      <c r="A17" s="216"/>
      <c r="B17" s="107" t="s">
        <v>322</v>
      </c>
      <c r="C17" s="13"/>
      <c r="D17" s="13"/>
      <c r="E17" s="276">
        <v>6260</v>
      </c>
      <c r="F17" s="272"/>
      <c r="G17" s="273"/>
      <c r="H17" s="274"/>
      <c r="I17" s="275"/>
      <c r="J17" s="192"/>
      <c r="K17" s="192"/>
      <c r="L17" s="192"/>
      <c r="M17" s="192"/>
      <c r="N17" s="192"/>
      <c r="O17" s="192"/>
      <c r="P17" s="192"/>
      <c r="Q17" s="192"/>
      <c r="R17" s="192"/>
      <c r="S17" s="192">
        <v>57651</v>
      </c>
      <c r="T17" s="193">
        <v>0</v>
      </c>
      <c r="U17" s="193">
        <v>0</v>
      </c>
      <c r="V17" s="279">
        <f>S17+T17-U17</f>
        <v>57651</v>
      </c>
    </row>
    <row r="18" spans="1:22" s="73" customFormat="1" ht="17.25" customHeight="1">
      <c r="A18" s="371" t="s">
        <v>20</v>
      </c>
      <c r="B18" s="318" t="s">
        <v>309</v>
      </c>
      <c r="C18" s="311"/>
      <c r="D18" s="311" t="s">
        <v>687</v>
      </c>
      <c r="E18" s="312"/>
      <c r="F18" s="313">
        <f>F19</f>
        <v>400</v>
      </c>
      <c r="G18" s="314">
        <f>G19</f>
        <v>400</v>
      </c>
      <c r="H18" s="315">
        <f>IF(F18&gt;0,G18/F18*100,"")</f>
        <v>100</v>
      </c>
      <c r="I18" s="316" t="e">
        <f>F18/F207</f>
        <v>#REF!</v>
      </c>
      <c r="J18" s="317"/>
      <c r="K18" s="317">
        <f aca="true" t="shared" si="0" ref="K18:U18">K19</f>
        <v>0</v>
      </c>
      <c r="L18" s="317">
        <f t="shared" si="0"/>
        <v>0</v>
      </c>
      <c r="M18" s="317">
        <f t="shared" si="0"/>
        <v>300</v>
      </c>
      <c r="N18" s="317">
        <f t="shared" si="0"/>
        <v>0</v>
      </c>
      <c r="O18" s="317">
        <f t="shared" si="0"/>
        <v>0</v>
      </c>
      <c r="P18" s="319">
        <f t="shared" si="0"/>
        <v>600</v>
      </c>
      <c r="Q18" s="319">
        <f t="shared" si="0"/>
        <v>0</v>
      </c>
      <c r="R18" s="319">
        <f t="shared" si="0"/>
        <v>0</v>
      </c>
      <c r="S18" s="319">
        <f t="shared" si="0"/>
        <v>420</v>
      </c>
      <c r="T18" s="319">
        <f t="shared" si="0"/>
        <v>20</v>
      </c>
      <c r="U18" s="319">
        <f t="shared" si="0"/>
        <v>0</v>
      </c>
      <c r="V18" s="319">
        <f>S18+T18-U18</f>
        <v>440</v>
      </c>
    </row>
    <row r="19" spans="1:22" ht="14.25" customHeight="1">
      <c r="A19" s="104"/>
      <c r="B19" s="108" t="s">
        <v>688</v>
      </c>
      <c r="C19" s="13"/>
      <c r="D19" s="13"/>
      <c r="E19" s="278" t="s">
        <v>125</v>
      </c>
      <c r="F19" s="272">
        <v>400</v>
      </c>
      <c r="G19" s="273">
        <v>400</v>
      </c>
      <c r="H19" s="274">
        <f>IF(F19&gt;0,G19/F19*100,"")</f>
        <v>100</v>
      </c>
      <c r="I19" s="275" t="e">
        <f>F19/F207</f>
        <v>#REF!</v>
      </c>
      <c r="J19" s="192"/>
      <c r="K19" s="192">
        <v>0</v>
      </c>
      <c r="L19" s="192">
        <v>0</v>
      </c>
      <c r="M19" s="192">
        <v>300</v>
      </c>
      <c r="N19" s="192">
        <v>0</v>
      </c>
      <c r="O19" s="192">
        <v>0</v>
      </c>
      <c r="P19" s="192">
        <v>600</v>
      </c>
      <c r="Q19" s="192">
        <v>0</v>
      </c>
      <c r="R19" s="192">
        <v>0</v>
      </c>
      <c r="S19" s="192">
        <v>420</v>
      </c>
      <c r="T19" s="192">
        <v>20</v>
      </c>
      <c r="U19" s="193">
        <v>0</v>
      </c>
      <c r="V19" s="192">
        <f>S19+T19-U19</f>
        <v>440</v>
      </c>
    </row>
    <row r="20" spans="1:22" s="136" customFormat="1" ht="15.75" customHeight="1">
      <c r="A20" s="215" t="s">
        <v>582</v>
      </c>
      <c r="B20" s="200" t="s">
        <v>23</v>
      </c>
      <c r="C20" s="201" t="s">
        <v>259</v>
      </c>
      <c r="D20" s="201"/>
      <c r="E20" s="280"/>
      <c r="F20" s="271"/>
      <c r="G20" s="271"/>
      <c r="H20" s="281"/>
      <c r="I20" s="281"/>
      <c r="J20" s="271"/>
      <c r="K20" s="271"/>
      <c r="L20" s="271"/>
      <c r="M20" s="271"/>
      <c r="N20" s="271"/>
      <c r="O20" s="271"/>
      <c r="P20" s="282"/>
      <c r="Q20" s="282"/>
      <c r="R20" s="282"/>
      <c r="S20" s="282">
        <f aca="true" t="shared" si="1" ref="S20:V21">S21</f>
        <v>141159</v>
      </c>
      <c r="T20" s="282">
        <f t="shared" si="1"/>
        <v>0</v>
      </c>
      <c r="U20" s="406">
        <f t="shared" si="1"/>
        <v>1234</v>
      </c>
      <c r="V20" s="282">
        <f t="shared" si="1"/>
        <v>139925</v>
      </c>
    </row>
    <row r="21" spans="1:22" s="218" customFormat="1" ht="15.75" customHeight="1">
      <c r="A21" s="371" t="s">
        <v>682</v>
      </c>
      <c r="B21" s="318" t="s">
        <v>120</v>
      </c>
      <c r="C21" s="311"/>
      <c r="D21" s="311" t="s">
        <v>121</v>
      </c>
      <c r="E21" s="312"/>
      <c r="F21" s="317"/>
      <c r="G21" s="317"/>
      <c r="H21" s="315"/>
      <c r="I21" s="315"/>
      <c r="J21" s="317"/>
      <c r="K21" s="317"/>
      <c r="L21" s="317"/>
      <c r="M21" s="317"/>
      <c r="N21" s="317"/>
      <c r="O21" s="317"/>
      <c r="P21" s="319"/>
      <c r="Q21" s="319"/>
      <c r="R21" s="319"/>
      <c r="S21" s="319">
        <f t="shared" si="1"/>
        <v>141159</v>
      </c>
      <c r="T21" s="319">
        <f t="shared" si="1"/>
        <v>0</v>
      </c>
      <c r="U21" s="323">
        <f t="shared" si="1"/>
        <v>1234</v>
      </c>
      <c r="V21" s="319">
        <f t="shared" si="1"/>
        <v>139925</v>
      </c>
    </row>
    <row r="22" spans="1:22" s="136" customFormat="1" ht="22.5" customHeight="1">
      <c r="A22" s="219"/>
      <c r="B22" s="191" t="s">
        <v>536</v>
      </c>
      <c r="C22" s="220"/>
      <c r="D22" s="220"/>
      <c r="E22" s="283" t="s">
        <v>132</v>
      </c>
      <c r="F22" s="285"/>
      <c r="G22" s="285"/>
      <c r="H22" s="286"/>
      <c r="I22" s="286"/>
      <c r="J22" s="285"/>
      <c r="K22" s="285"/>
      <c r="L22" s="285"/>
      <c r="M22" s="285"/>
      <c r="N22" s="285"/>
      <c r="O22" s="285"/>
      <c r="P22" s="287"/>
      <c r="Q22" s="287"/>
      <c r="R22" s="287"/>
      <c r="S22" s="284">
        <v>141159</v>
      </c>
      <c r="T22" s="288"/>
      <c r="U22" s="288">
        <v>1234</v>
      </c>
      <c r="V22" s="279">
        <f>S22+T22+-U22</f>
        <v>139925</v>
      </c>
    </row>
    <row r="23" spans="1:22" ht="18" customHeight="1">
      <c r="A23" s="215" t="s">
        <v>584</v>
      </c>
      <c r="B23" s="188" t="s">
        <v>689</v>
      </c>
      <c r="C23" s="201" t="s">
        <v>263</v>
      </c>
      <c r="D23" s="201"/>
      <c r="E23" s="280"/>
      <c r="F23" s="289" t="e">
        <f>F24</f>
        <v>#REF!</v>
      </c>
      <c r="G23" s="290" t="e">
        <f>G24</f>
        <v>#REF!</v>
      </c>
      <c r="H23" s="281" t="e">
        <f>IF(F23&gt;0,G23/F23*100,"")</f>
        <v>#REF!</v>
      </c>
      <c r="I23" s="291" t="e">
        <f>F23/F207</f>
        <v>#REF!</v>
      </c>
      <c r="J23" s="271"/>
      <c r="K23" s="271" t="e">
        <f aca="true" t="shared" si="2" ref="K23:V23">K24</f>
        <v>#REF!</v>
      </c>
      <c r="L23" s="271" t="e">
        <f t="shared" si="2"/>
        <v>#REF!</v>
      </c>
      <c r="M23" s="271" t="e">
        <f t="shared" si="2"/>
        <v>#REF!</v>
      </c>
      <c r="N23" s="271" t="e">
        <f t="shared" si="2"/>
        <v>#REF!</v>
      </c>
      <c r="O23" s="271" t="e">
        <f t="shared" si="2"/>
        <v>#REF!</v>
      </c>
      <c r="P23" s="282" t="e">
        <f t="shared" si="2"/>
        <v>#REF!</v>
      </c>
      <c r="Q23" s="282" t="e">
        <f t="shared" si="2"/>
        <v>#REF!</v>
      </c>
      <c r="R23" s="282" t="e">
        <f t="shared" si="2"/>
        <v>#REF!</v>
      </c>
      <c r="S23" s="282">
        <f t="shared" si="2"/>
        <v>4555948</v>
      </c>
      <c r="T23" s="282">
        <f t="shared" si="2"/>
        <v>0</v>
      </c>
      <c r="U23" s="406">
        <f t="shared" si="2"/>
        <v>1711809</v>
      </c>
      <c r="V23" s="282">
        <f t="shared" si="2"/>
        <v>2844139</v>
      </c>
    </row>
    <row r="24" spans="1:22" s="73" customFormat="1" ht="18.75" customHeight="1">
      <c r="A24" s="371" t="s">
        <v>682</v>
      </c>
      <c r="B24" s="310" t="s">
        <v>187</v>
      </c>
      <c r="C24" s="311"/>
      <c r="D24" s="311" t="s">
        <v>265</v>
      </c>
      <c r="E24" s="312"/>
      <c r="F24" s="313" t="e">
        <f>F27+F30+#REF!</f>
        <v>#REF!</v>
      </c>
      <c r="G24" s="314" t="e">
        <f>G27+G30+#REF!+G31</f>
        <v>#REF!</v>
      </c>
      <c r="H24" s="315" t="e">
        <f>IF(F24&gt;0,G24/F24*100,"")</f>
        <v>#REF!</v>
      </c>
      <c r="I24" s="316" t="e">
        <f>F24/F207</f>
        <v>#REF!</v>
      </c>
      <c r="J24" s="317"/>
      <c r="K24" s="317" t="e">
        <f>K27+K30+#REF!+K31</f>
        <v>#REF!</v>
      </c>
      <c r="L24" s="317" t="e">
        <f>L27+L30+#REF!+L31</f>
        <v>#REF!</v>
      </c>
      <c r="M24" s="317" t="e">
        <f>M27+M30+#REF!+M31</f>
        <v>#REF!</v>
      </c>
      <c r="N24" s="317" t="e">
        <f>N27+N30+#REF!+N31</f>
        <v>#REF!</v>
      </c>
      <c r="O24" s="317" t="e">
        <f>O27+O30+#REF!+O31</f>
        <v>#REF!</v>
      </c>
      <c r="P24" s="319" t="e">
        <f>P27+P30+#REF!+P31+P26</f>
        <v>#REF!</v>
      </c>
      <c r="Q24" s="319" t="e">
        <f>Q27+Q30+#REF!+Q31+Q26</f>
        <v>#REF!</v>
      </c>
      <c r="R24" s="319" t="e">
        <f>R27+R30+#REF!+R31+R26</f>
        <v>#REF!</v>
      </c>
      <c r="S24" s="319">
        <f>S25+S26+S27+S28+S29+S30+S31+S32+S33+S34+S35</f>
        <v>4555948</v>
      </c>
      <c r="T24" s="319">
        <f>T25+T26+T27+T28+T29+T30+T31+T32+T33+T34+T35</f>
        <v>0</v>
      </c>
      <c r="U24" s="323">
        <f>U25+U26+U27+U28+U29+U30+U31+U32+U33+U34+U35</f>
        <v>1711809</v>
      </c>
      <c r="V24" s="319">
        <f>V25+V26+V27+V28+V29+V30+V31+V32+V33+V34+V35</f>
        <v>2844139</v>
      </c>
    </row>
    <row r="25" spans="1:22" ht="23.25" customHeight="1">
      <c r="A25" s="104"/>
      <c r="B25" s="107" t="s">
        <v>590</v>
      </c>
      <c r="C25" s="22"/>
      <c r="D25" s="22"/>
      <c r="E25" s="278" t="s">
        <v>589</v>
      </c>
      <c r="F25" s="292"/>
      <c r="G25" s="293"/>
      <c r="H25" s="294"/>
      <c r="I25" s="295"/>
      <c r="J25" s="194"/>
      <c r="K25" s="194"/>
      <c r="L25" s="194"/>
      <c r="M25" s="194"/>
      <c r="N25" s="194"/>
      <c r="O25" s="194"/>
      <c r="P25" s="296"/>
      <c r="Q25" s="296"/>
      <c r="R25" s="296"/>
      <c r="S25" s="279">
        <v>0</v>
      </c>
      <c r="T25" s="277"/>
      <c r="U25" s="277"/>
      <c r="V25" s="279">
        <f>S25+T25+-U25</f>
        <v>0</v>
      </c>
    </row>
    <row r="26" spans="1:22" ht="18" customHeight="1">
      <c r="A26" s="104"/>
      <c r="B26" s="108" t="s">
        <v>688</v>
      </c>
      <c r="C26" s="22"/>
      <c r="D26" s="22"/>
      <c r="E26" s="278" t="s">
        <v>125</v>
      </c>
      <c r="F26" s="272"/>
      <c r="G26" s="273"/>
      <c r="H26" s="274"/>
      <c r="I26" s="275"/>
      <c r="J26" s="192"/>
      <c r="K26" s="192"/>
      <c r="L26" s="192"/>
      <c r="M26" s="192"/>
      <c r="N26" s="192"/>
      <c r="O26" s="192"/>
      <c r="P26" s="279">
        <v>200</v>
      </c>
      <c r="Q26" s="279">
        <v>0</v>
      </c>
      <c r="R26" s="279">
        <v>0</v>
      </c>
      <c r="S26" s="192">
        <v>0</v>
      </c>
      <c r="T26" s="193"/>
      <c r="U26" s="193"/>
      <c r="V26" s="279">
        <f aca="true" t="shared" si="3" ref="V26:V35">S26+T26+-U26</f>
        <v>0</v>
      </c>
    </row>
    <row r="27" spans="1:22" ht="22.5" customHeight="1">
      <c r="A27" s="104"/>
      <c r="B27" s="107" t="s">
        <v>690</v>
      </c>
      <c r="C27" s="13"/>
      <c r="D27" s="13"/>
      <c r="E27" s="278" t="s">
        <v>126</v>
      </c>
      <c r="F27" s="272">
        <v>17000</v>
      </c>
      <c r="G27" s="273">
        <v>18200</v>
      </c>
      <c r="H27" s="274">
        <f>IF(F27&gt;0,G27/F27*100,"")</f>
        <v>107.05882352941177</v>
      </c>
      <c r="I27" s="275" t="e">
        <f>F27/F207</f>
        <v>#REF!</v>
      </c>
      <c r="J27" s="192"/>
      <c r="K27" s="192">
        <v>0</v>
      </c>
      <c r="L27" s="192">
        <v>0</v>
      </c>
      <c r="M27" s="192">
        <v>1747</v>
      </c>
      <c r="N27" s="192">
        <v>0</v>
      </c>
      <c r="O27" s="192">
        <v>0</v>
      </c>
      <c r="P27" s="192">
        <v>2617</v>
      </c>
      <c r="Q27" s="192">
        <v>0</v>
      </c>
      <c r="R27" s="192">
        <v>0</v>
      </c>
      <c r="S27" s="192">
        <v>5500</v>
      </c>
      <c r="T27" s="193">
        <v>0</v>
      </c>
      <c r="U27" s="193"/>
      <c r="V27" s="279">
        <f t="shared" si="3"/>
        <v>5500</v>
      </c>
    </row>
    <row r="28" spans="1:22" ht="17.25" customHeight="1">
      <c r="A28" s="104"/>
      <c r="B28" s="107" t="s">
        <v>479</v>
      </c>
      <c r="C28" s="13"/>
      <c r="D28" s="13"/>
      <c r="E28" s="278" t="s">
        <v>478</v>
      </c>
      <c r="F28" s="272"/>
      <c r="G28" s="273"/>
      <c r="H28" s="274"/>
      <c r="I28" s="275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v>5572</v>
      </c>
      <c r="T28" s="193">
        <v>0</v>
      </c>
      <c r="U28" s="193"/>
      <c r="V28" s="279">
        <f t="shared" si="3"/>
        <v>5572</v>
      </c>
    </row>
    <row r="29" spans="1:22" ht="18" customHeight="1">
      <c r="A29" s="104"/>
      <c r="B29" s="107" t="s">
        <v>684</v>
      </c>
      <c r="C29" s="13"/>
      <c r="D29" s="13"/>
      <c r="E29" s="278" t="s">
        <v>124</v>
      </c>
      <c r="F29" s="272"/>
      <c r="G29" s="273"/>
      <c r="H29" s="274"/>
      <c r="I29" s="275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v>192</v>
      </c>
      <c r="T29" s="193">
        <v>0</v>
      </c>
      <c r="U29" s="193">
        <v>0</v>
      </c>
      <c r="V29" s="279">
        <f t="shared" si="3"/>
        <v>192</v>
      </c>
    </row>
    <row r="30" spans="1:22" ht="17.25" customHeight="1">
      <c r="A30" s="104"/>
      <c r="B30" s="108" t="s">
        <v>708</v>
      </c>
      <c r="C30" s="13"/>
      <c r="D30" s="13"/>
      <c r="E30" s="278" t="s">
        <v>128</v>
      </c>
      <c r="F30" s="272">
        <v>18000</v>
      </c>
      <c r="G30" s="273">
        <v>9400</v>
      </c>
      <c r="H30" s="274">
        <f>IF(F30&gt;0,G30/F30*100,"")</f>
        <v>52.22222222222223</v>
      </c>
      <c r="I30" s="275" t="e">
        <f>F30/F207</f>
        <v>#REF!</v>
      </c>
      <c r="J30" s="192"/>
      <c r="K30" s="192">
        <v>0</v>
      </c>
      <c r="L30" s="192">
        <v>0</v>
      </c>
      <c r="M30" s="192">
        <v>7749</v>
      </c>
      <c r="N30" s="192">
        <v>0</v>
      </c>
      <c r="O30" s="192">
        <v>0</v>
      </c>
      <c r="P30" s="192">
        <v>1700</v>
      </c>
      <c r="Q30" s="192">
        <v>0</v>
      </c>
      <c r="R30" s="192">
        <v>0</v>
      </c>
      <c r="S30" s="192">
        <v>0</v>
      </c>
      <c r="T30" s="193"/>
      <c r="U30" s="193"/>
      <c r="V30" s="279">
        <f t="shared" si="3"/>
        <v>0</v>
      </c>
    </row>
    <row r="31" spans="1:22" ht="21.75" customHeight="1">
      <c r="A31" s="104"/>
      <c r="B31" s="107" t="s">
        <v>324</v>
      </c>
      <c r="C31" s="13"/>
      <c r="D31" s="13"/>
      <c r="E31" s="278" t="s">
        <v>323</v>
      </c>
      <c r="F31" s="272"/>
      <c r="G31" s="273">
        <v>0</v>
      </c>
      <c r="H31" s="274"/>
      <c r="I31" s="275"/>
      <c r="J31" s="192"/>
      <c r="K31" s="192">
        <v>0</v>
      </c>
      <c r="L31" s="192">
        <v>0</v>
      </c>
      <c r="M31" s="192">
        <v>7304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3">
        <v>0</v>
      </c>
      <c r="U31" s="193"/>
      <c r="V31" s="279">
        <f>S31+T31-U31</f>
        <v>0</v>
      </c>
    </row>
    <row r="32" spans="1:22" ht="21.75" customHeight="1">
      <c r="A32" s="216"/>
      <c r="B32" s="209" t="s">
        <v>170</v>
      </c>
      <c r="C32" s="26"/>
      <c r="D32" s="26"/>
      <c r="E32" s="278" t="s">
        <v>595</v>
      </c>
      <c r="F32" s="192"/>
      <c r="G32" s="192"/>
      <c r="H32" s="274"/>
      <c r="I32" s="274"/>
      <c r="J32" s="192"/>
      <c r="K32" s="192"/>
      <c r="L32" s="192"/>
      <c r="M32" s="192"/>
      <c r="N32" s="192"/>
      <c r="O32" s="192"/>
      <c r="P32" s="279"/>
      <c r="Q32" s="279"/>
      <c r="R32" s="279"/>
      <c r="S32" s="279">
        <v>3899087</v>
      </c>
      <c r="T32" s="277">
        <v>0</v>
      </c>
      <c r="U32" s="277">
        <v>1608266</v>
      </c>
      <c r="V32" s="279">
        <f t="shared" si="3"/>
        <v>2290821</v>
      </c>
    </row>
    <row r="33" spans="1:22" ht="21.75" customHeight="1">
      <c r="A33" s="216"/>
      <c r="B33" s="209" t="s">
        <v>171</v>
      </c>
      <c r="C33" s="26"/>
      <c r="D33" s="26"/>
      <c r="E33" s="278" t="s">
        <v>114</v>
      </c>
      <c r="F33" s="192"/>
      <c r="G33" s="192"/>
      <c r="H33" s="274"/>
      <c r="I33" s="274"/>
      <c r="J33" s="192"/>
      <c r="K33" s="192"/>
      <c r="L33" s="192"/>
      <c r="M33" s="192"/>
      <c r="N33" s="192"/>
      <c r="O33" s="192"/>
      <c r="P33" s="279"/>
      <c r="Q33" s="279"/>
      <c r="R33" s="279"/>
      <c r="S33" s="279">
        <v>500597</v>
      </c>
      <c r="T33" s="277">
        <v>0</v>
      </c>
      <c r="U33" s="297">
        <v>78543</v>
      </c>
      <c r="V33" s="279">
        <f t="shared" si="3"/>
        <v>422054</v>
      </c>
    </row>
    <row r="34" spans="1:22" ht="22.5" customHeight="1">
      <c r="A34" s="217"/>
      <c r="B34" s="107" t="s">
        <v>66</v>
      </c>
      <c r="C34" s="28"/>
      <c r="D34" s="44"/>
      <c r="E34" s="276">
        <v>6610</v>
      </c>
      <c r="F34" s="292"/>
      <c r="G34" s="293"/>
      <c r="H34" s="294"/>
      <c r="I34" s="295"/>
      <c r="J34" s="194"/>
      <c r="K34" s="194"/>
      <c r="L34" s="194"/>
      <c r="M34" s="194"/>
      <c r="N34" s="194"/>
      <c r="O34" s="194"/>
      <c r="P34" s="192">
        <v>60000</v>
      </c>
      <c r="Q34" s="192">
        <v>0</v>
      </c>
      <c r="R34" s="192">
        <v>0</v>
      </c>
      <c r="S34" s="298">
        <v>75000</v>
      </c>
      <c r="T34" s="299">
        <v>0</v>
      </c>
      <c r="U34" s="299">
        <v>25000</v>
      </c>
      <c r="V34" s="279">
        <f t="shared" si="3"/>
        <v>50000</v>
      </c>
    </row>
    <row r="35" spans="1:22" ht="22.5" customHeight="1">
      <c r="A35" s="217"/>
      <c r="B35" s="107" t="s">
        <v>66</v>
      </c>
      <c r="C35" s="28"/>
      <c r="D35" s="44"/>
      <c r="E35" s="276">
        <v>6619</v>
      </c>
      <c r="F35" s="292"/>
      <c r="G35" s="293"/>
      <c r="H35" s="294"/>
      <c r="I35" s="295"/>
      <c r="J35" s="194"/>
      <c r="K35" s="194"/>
      <c r="L35" s="194"/>
      <c r="M35" s="194"/>
      <c r="N35" s="194"/>
      <c r="O35" s="194"/>
      <c r="P35" s="192"/>
      <c r="Q35" s="192"/>
      <c r="R35" s="192"/>
      <c r="S35" s="298">
        <v>70000</v>
      </c>
      <c r="T35" s="299"/>
      <c r="U35" s="299"/>
      <c r="V35" s="279">
        <f t="shared" si="3"/>
        <v>70000</v>
      </c>
    </row>
    <row r="36" spans="1:22" ht="25.5">
      <c r="A36" s="215" t="s">
        <v>586</v>
      </c>
      <c r="B36" s="200" t="s">
        <v>692</v>
      </c>
      <c r="C36" s="201" t="s">
        <v>277</v>
      </c>
      <c r="D36" s="203"/>
      <c r="E36" s="300"/>
      <c r="F36" s="269">
        <f>F37</f>
        <v>576998</v>
      </c>
      <c r="G36" s="290">
        <f>G37</f>
        <v>906816</v>
      </c>
      <c r="H36" s="281">
        <f>IF(F36&gt;0,G36/F36*100,"")</f>
        <v>157.1610300209013</v>
      </c>
      <c r="I36" s="291" t="e">
        <f>F36/F207</f>
        <v>#REF!</v>
      </c>
      <c r="J36" s="271"/>
      <c r="K36" s="271">
        <f aca="true" t="shared" si="4" ref="K36:R36">K37</f>
        <v>0</v>
      </c>
      <c r="L36" s="271">
        <f t="shared" si="4"/>
        <v>200000</v>
      </c>
      <c r="M36" s="271" t="e">
        <f t="shared" si="4"/>
        <v>#REF!</v>
      </c>
      <c r="N36" s="271" t="e">
        <f t="shared" si="4"/>
        <v>#REF!</v>
      </c>
      <c r="O36" s="271" t="e">
        <f t="shared" si="4"/>
        <v>#REF!</v>
      </c>
      <c r="P36" s="282" t="e">
        <f t="shared" si="4"/>
        <v>#REF!</v>
      </c>
      <c r="Q36" s="282" t="e">
        <f t="shared" si="4"/>
        <v>#REF!</v>
      </c>
      <c r="R36" s="282" t="e">
        <f t="shared" si="4"/>
        <v>#REF!</v>
      </c>
      <c r="S36" s="282">
        <f>S37</f>
        <v>999306</v>
      </c>
      <c r="T36" s="282">
        <f>T37</f>
        <v>6786</v>
      </c>
      <c r="U36" s="406">
        <f>U37</f>
        <v>8</v>
      </c>
      <c r="V36" s="282">
        <f>V37</f>
        <v>1006084</v>
      </c>
    </row>
    <row r="37" spans="1:22" ht="22.5" customHeight="1">
      <c r="A37" s="371" t="s">
        <v>682</v>
      </c>
      <c r="B37" s="486" t="s">
        <v>693</v>
      </c>
      <c r="C37" s="311"/>
      <c r="D37" s="311" t="s">
        <v>279</v>
      </c>
      <c r="E37" s="312"/>
      <c r="F37" s="313">
        <f>F40+F42</f>
        <v>576998</v>
      </c>
      <c r="G37" s="314">
        <f>G40+G42+G41</f>
        <v>906816</v>
      </c>
      <c r="H37" s="315">
        <f>IF(F37&gt;0,G37/F37*100,"")</f>
        <v>157.1610300209013</v>
      </c>
      <c r="I37" s="316" t="e">
        <f>F37/F207</f>
        <v>#REF!</v>
      </c>
      <c r="J37" s="317"/>
      <c r="K37" s="317">
        <f>K40+K42+K41</f>
        <v>0</v>
      </c>
      <c r="L37" s="317">
        <f>L40+L42+L41</f>
        <v>200000</v>
      </c>
      <c r="M37" s="317" t="e">
        <f>M40+M41+M42+#REF!+M39</f>
        <v>#REF!</v>
      </c>
      <c r="N37" s="317" t="e">
        <f>N40+N41+N42+#REF!+N39</f>
        <v>#REF!</v>
      </c>
      <c r="O37" s="317" t="e">
        <f>O40+O41+O42+#REF!+O39</f>
        <v>#REF!</v>
      </c>
      <c r="P37" s="319" t="e">
        <f>P40+P41+P42+#REF!+P39+P38</f>
        <v>#REF!</v>
      </c>
      <c r="Q37" s="319" t="e">
        <f>Q40+Q41+Q42+#REF!+Q39+Q38</f>
        <v>#REF!</v>
      </c>
      <c r="R37" s="319" t="e">
        <f>R40+R41+R42+#REF!+R39+R38</f>
        <v>#REF!</v>
      </c>
      <c r="S37" s="319">
        <f>S38+S39+S40+S41+S42+S43</f>
        <v>999306</v>
      </c>
      <c r="T37" s="319">
        <f>T38+T39+T40+T41+T42+T43</f>
        <v>6786</v>
      </c>
      <c r="U37" s="323">
        <f>U38+U39+U40+U41+U42+U43</f>
        <v>8</v>
      </c>
      <c r="V37" s="319">
        <f>V38+V39+V40+V41+V42+V43</f>
        <v>1006084</v>
      </c>
    </row>
    <row r="38" spans="1:22" ht="17.25" customHeight="1">
      <c r="A38" s="217"/>
      <c r="B38" s="108" t="s">
        <v>688</v>
      </c>
      <c r="C38" s="22"/>
      <c r="D38" s="26"/>
      <c r="E38" s="278" t="s">
        <v>125</v>
      </c>
      <c r="F38" s="272"/>
      <c r="G38" s="273"/>
      <c r="H38" s="274"/>
      <c r="I38" s="275"/>
      <c r="J38" s="192"/>
      <c r="K38" s="192"/>
      <c r="L38" s="192"/>
      <c r="M38" s="192"/>
      <c r="N38" s="192"/>
      <c r="O38" s="192"/>
      <c r="P38" s="279">
        <v>26</v>
      </c>
      <c r="Q38" s="279">
        <v>0</v>
      </c>
      <c r="R38" s="279">
        <v>0</v>
      </c>
      <c r="S38" s="192">
        <v>26</v>
      </c>
      <c r="T38" s="193"/>
      <c r="U38" s="193">
        <v>8</v>
      </c>
      <c r="V38" s="279">
        <f aca="true" t="shared" si="5" ref="V38:V43">S38+T38-U38</f>
        <v>18</v>
      </c>
    </row>
    <row r="39" spans="1:22" ht="21.75" customHeight="1">
      <c r="A39" s="216"/>
      <c r="B39" s="107" t="s">
        <v>690</v>
      </c>
      <c r="C39" s="26"/>
      <c r="D39" s="26"/>
      <c r="E39" s="278" t="s">
        <v>126</v>
      </c>
      <c r="F39" s="272"/>
      <c r="G39" s="273"/>
      <c r="H39" s="274"/>
      <c r="I39" s="275"/>
      <c r="J39" s="192"/>
      <c r="K39" s="192"/>
      <c r="L39" s="192"/>
      <c r="M39" s="192">
        <v>8213</v>
      </c>
      <c r="N39" s="192">
        <v>0</v>
      </c>
      <c r="O39" s="192">
        <v>0</v>
      </c>
      <c r="P39" s="192">
        <v>9201</v>
      </c>
      <c r="Q39" s="192">
        <v>0</v>
      </c>
      <c r="R39" s="192">
        <v>0</v>
      </c>
      <c r="S39" s="192">
        <v>5350</v>
      </c>
      <c r="T39" s="193">
        <v>150</v>
      </c>
      <c r="U39" s="193"/>
      <c r="V39" s="279">
        <f t="shared" si="5"/>
        <v>5500</v>
      </c>
    </row>
    <row r="40" spans="1:22" ht="16.5" customHeight="1">
      <c r="A40" s="216"/>
      <c r="B40" s="107" t="s">
        <v>479</v>
      </c>
      <c r="C40" s="13"/>
      <c r="D40" s="13"/>
      <c r="E40" s="278" t="s">
        <v>478</v>
      </c>
      <c r="F40" s="272">
        <v>570998</v>
      </c>
      <c r="G40" s="273">
        <v>882016</v>
      </c>
      <c r="H40" s="274">
        <f>IF(F40&gt;0,G40/F40*100,"")</f>
        <v>154.46919253657632</v>
      </c>
      <c r="I40" s="275" t="e">
        <f>F40/F207</f>
        <v>#REF!</v>
      </c>
      <c r="J40" s="192"/>
      <c r="K40" s="192">
        <v>0</v>
      </c>
      <c r="L40" s="192">
        <v>200000</v>
      </c>
      <c r="M40" s="192">
        <v>547167</v>
      </c>
      <c r="N40" s="192">
        <v>0</v>
      </c>
      <c r="O40" s="192">
        <v>0</v>
      </c>
      <c r="P40" s="192">
        <v>425245</v>
      </c>
      <c r="Q40" s="192">
        <v>0</v>
      </c>
      <c r="R40" s="192">
        <v>0</v>
      </c>
      <c r="S40" s="192">
        <v>895589</v>
      </c>
      <c r="T40" s="193">
        <v>5303</v>
      </c>
      <c r="U40" s="193">
        <v>0</v>
      </c>
      <c r="V40" s="279">
        <f t="shared" si="5"/>
        <v>900892</v>
      </c>
    </row>
    <row r="41" spans="1:22" ht="17.25" customHeight="1">
      <c r="A41" s="216"/>
      <c r="B41" s="107" t="s">
        <v>684</v>
      </c>
      <c r="C41" s="13"/>
      <c r="D41" s="13"/>
      <c r="E41" s="278" t="s">
        <v>124</v>
      </c>
      <c r="F41" s="272"/>
      <c r="G41" s="273">
        <v>7000</v>
      </c>
      <c r="H41" s="274"/>
      <c r="I41" s="275"/>
      <c r="J41" s="192"/>
      <c r="K41" s="192">
        <v>0</v>
      </c>
      <c r="L41" s="192">
        <v>0</v>
      </c>
      <c r="M41" s="192">
        <v>800</v>
      </c>
      <c r="N41" s="192">
        <v>0</v>
      </c>
      <c r="O41" s="192">
        <v>0</v>
      </c>
      <c r="P41" s="192">
        <v>4899</v>
      </c>
      <c r="Q41" s="192">
        <v>0</v>
      </c>
      <c r="R41" s="192">
        <v>0</v>
      </c>
      <c r="S41" s="192">
        <v>2689</v>
      </c>
      <c r="T41" s="193"/>
      <c r="U41" s="193"/>
      <c r="V41" s="279">
        <f t="shared" si="5"/>
        <v>2689</v>
      </c>
    </row>
    <row r="42" spans="1:22" ht="17.25" customHeight="1">
      <c r="A42" s="217"/>
      <c r="B42" s="107" t="s">
        <v>708</v>
      </c>
      <c r="C42" s="13"/>
      <c r="D42" s="13"/>
      <c r="E42" s="278" t="s">
        <v>128</v>
      </c>
      <c r="F42" s="272">
        <v>6000</v>
      </c>
      <c r="G42" s="273">
        <v>17800</v>
      </c>
      <c r="H42" s="274">
        <f>IF(F42&gt;0,G42/F42*100,"")</f>
        <v>296.6666666666667</v>
      </c>
      <c r="I42" s="275" t="e">
        <f>F42/F207</f>
        <v>#REF!</v>
      </c>
      <c r="J42" s="192"/>
      <c r="K42" s="192">
        <v>0</v>
      </c>
      <c r="L42" s="192">
        <v>0</v>
      </c>
      <c r="M42" s="192">
        <v>9000</v>
      </c>
      <c r="N42" s="192">
        <v>0</v>
      </c>
      <c r="O42" s="192">
        <v>0</v>
      </c>
      <c r="P42" s="192">
        <v>7950</v>
      </c>
      <c r="Q42" s="192">
        <v>0</v>
      </c>
      <c r="R42" s="192">
        <v>0</v>
      </c>
      <c r="S42" s="192">
        <v>33652</v>
      </c>
      <c r="T42" s="193">
        <v>1333</v>
      </c>
      <c r="U42" s="193"/>
      <c r="V42" s="279">
        <f t="shared" si="5"/>
        <v>34985</v>
      </c>
    </row>
    <row r="43" spans="1:22" ht="24" customHeight="1">
      <c r="A43" s="104"/>
      <c r="B43" s="107" t="s">
        <v>98</v>
      </c>
      <c r="C43" s="28"/>
      <c r="D43" s="28"/>
      <c r="E43" s="276">
        <v>2110</v>
      </c>
      <c r="F43" s="272">
        <v>15000</v>
      </c>
      <c r="G43" s="273">
        <v>37000</v>
      </c>
      <c r="H43" s="274">
        <f>IF(F43&gt;0,G43/F43*100,"")</f>
        <v>246.66666666666669</v>
      </c>
      <c r="I43" s="275" t="e">
        <f>F43/F207</f>
        <v>#REF!</v>
      </c>
      <c r="J43" s="192"/>
      <c r="K43" s="192">
        <v>0</v>
      </c>
      <c r="L43" s="192">
        <v>0</v>
      </c>
      <c r="M43" s="192">
        <v>4000</v>
      </c>
      <c r="N43" s="192">
        <v>0</v>
      </c>
      <c r="O43" s="192">
        <v>0</v>
      </c>
      <c r="P43" s="192">
        <v>22000</v>
      </c>
      <c r="Q43" s="192">
        <v>0</v>
      </c>
      <c r="R43" s="192">
        <v>0</v>
      </c>
      <c r="S43" s="192">
        <v>62000</v>
      </c>
      <c r="T43" s="193"/>
      <c r="U43" s="193"/>
      <c r="V43" s="279">
        <f t="shared" si="5"/>
        <v>62000</v>
      </c>
    </row>
    <row r="44" spans="1:22" ht="21.75" customHeight="1">
      <c r="A44" s="215" t="s">
        <v>588</v>
      </c>
      <c r="B44" s="200" t="s">
        <v>24</v>
      </c>
      <c r="C44" s="196">
        <v>710</v>
      </c>
      <c r="D44" s="204"/>
      <c r="E44" s="268"/>
      <c r="F44" s="269">
        <f>F45+F47+F49</f>
        <v>170602</v>
      </c>
      <c r="G44" s="290">
        <f>G45+G47+G49</f>
        <v>139020</v>
      </c>
      <c r="H44" s="281">
        <f>IF(F44&gt;0,G44/F44*100,"")</f>
        <v>81.48790752746157</v>
      </c>
      <c r="I44" s="291" t="e">
        <f>F44/F207</f>
        <v>#REF!</v>
      </c>
      <c r="J44" s="271"/>
      <c r="K44" s="271">
        <f aca="true" t="shared" si="6" ref="K44:P44">K45+K47+K49</f>
        <v>0</v>
      </c>
      <c r="L44" s="271">
        <f t="shared" si="6"/>
        <v>0</v>
      </c>
      <c r="M44" s="271">
        <f t="shared" si="6"/>
        <v>114563</v>
      </c>
      <c r="N44" s="271">
        <f t="shared" si="6"/>
        <v>0</v>
      </c>
      <c r="O44" s="271">
        <f t="shared" si="6"/>
        <v>0</v>
      </c>
      <c r="P44" s="282">
        <f t="shared" si="6"/>
        <v>137866</v>
      </c>
      <c r="Q44" s="282">
        <f aca="true" t="shared" si="7" ref="Q44:V44">Q45+Q47+Q49</f>
        <v>0</v>
      </c>
      <c r="R44" s="282">
        <f t="shared" si="7"/>
        <v>0</v>
      </c>
      <c r="S44" s="282">
        <f>S45+S47+S49+S52</f>
        <v>278378</v>
      </c>
      <c r="T44" s="282">
        <f>T45+T47+T49+T52</f>
        <v>60</v>
      </c>
      <c r="U44" s="282">
        <f>U45+U47+U49+U52</f>
        <v>0</v>
      </c>
      <c r="V44" s="282">
        <f t="shared" si="7"/>
        <v>271438</v>
      </c>
    </row>
    <row r="45" spans="1:22" ht="24.75" customHeight="1">
      <c r="A45" s="372" t="s">
        <v>682</v>
      </c>
      <c r="B45" s="486" t="s">
        <v>288</v>
      </c>
      <c r="C45" s="321"/>
      <c r="D45" s="321">
        <v>71013</v>
      </c>
      <c r="E45" s="317"/>
      <c r="F45" s="313">
        <v>79900</v>
      </c>
      <c r="G45" s="314">
        <v>52100</v>
      </c>
      <c r="H45" s="315">
        <f>IF(F45&gt;0,G45/F45*100,"")</f>
        <v>65.20650813516896</v>
      </c>
      <c r="I45" s="316" t="e">
        <f>F45/F207</f>
        <v>#REF!</v>
      </c>
      <c r="J45" s="317"/>
      <c r="K45" s="317">
        <v>0</v>
      </c>
      <c r="L45" s="317">
        <v>0</v>
      </c>
      <c r="M45" s="317">
        <v>35000</v>
      </c>
      <c r="N45" s="317">
        <v>0</v>
      </c>
      <c r="O45" s="317">
        <v>0</v>
      </c>
      <c r="P45" s="317">
        <v>52000</v>
      </c>
      <c r="Q45" s="317">
        <v>0</v>
      </c>
      <c r="R45" s="317">
        <v>0</v>
      </c>
      <c r="S45" s="317">
        <f>S46</f>
        <v>40000</v>
      </c>
      <c r="T45" s="317">
        <f>T46</f>
        <v>0</v>
      </c>
      <c r="U45" s="405">
        <f>U46</f>
        <v>0</v>
      </c>
      <c r="V45" s="317">
        <f>V46</f>
        <v>40000</v>
      </c>
    </row>
    <row r="46" spans="1:22" ht="21.75" customHeight="1">
      <c r="A46" s="104"/>
      <c r="B46" s="107" t="s">
        <v>98</v>
      </c>
      <c r="C46" s="28"/>
      <c r="D46" s="28"/>
      <c r="E46" s="276">
        <v>2110</v>
      </c>
      <c r="F46" s="272"/>
      <c r="G46" s="273"/>
      <c r="H46" s="274"/>
      <c r="I46" s="275"/>
      <c r="J46" s="192"/>
      <c r="K46" s="192"/>
      <c r="L46" s="192"/>
      <c r="M46" s="192"/>
      <c r="N46" s="192"/>
      <c r="O46" s="192"/>
      <c r="P46" s="192"/>
      <c r="Q46" s="192"/>
      <c r="R46" s="192"/>
      <c r="S46" s="192">
        <v>40000</v>
      </c>
      <c r="T46" s="193"/>
      <c r="U46" s="193"/>
      <c r="V46" s="279">
        <f>S46+T46-U46</f>
        <v>40000</v>
      </c>
    </row>
    <row r="47" spans="1:22" ht="23.25" customHeight="1">
      <c r="A47" s="372" t="s">
        <v>686</v>
      </c>
      <c r="B47" s="486" t="s">
        <v>290</v>
      </c>
      <c r="C47" s="321"/>
      <c r="D47" s="321">
        <v>71014</v>
      </c>
      <c r="E47" s="317"/>
      <c r="F47" s="313">
        <v>20000</v>
      </c>
      <c r="G47" s="314">
        <v>8000</v>
      </c>
      <c r="H47" s="315">
        <f>IF(F47&gt;0,G47/F47*100,"")</f>
        <v>40</v>
      </c>
      <c r="I47" s="316" t="e">
        <f>F47/F207</f>
        <v>#REF!</v>
      </c>
      <c r="J47" s="317"/>
      <c r="K47" s="317">
        <v>0</v>
      </c>
      <c r="L47" s="317">
        <v>0</v>
      </c>
      <c r="M47" s="317">
        <v>4000</v>
      </c>
      <c r="N47" s="317">
        <v>0</v>
      </c>
      <c r="O47" s="317">
        <v>0</v>
      </c>
      <c r="P47" s="317">
        <v>4000</v>
      </c>
      <c r="Q47" s="317">
        <v>0</v>
      </c>
      <c r="R47" s="317">
        <v>0</v>
      </c>
      <c r="S47" s="317">
        <f>S48</f>
        <v>25000</v>
      </c>
      <c r="T47" s="317">
        <f>T48</f>
        <v>0</v>
      </c>
      <c r="U47" s="405">
        <f>U48</f>
        <v>0</v>
      </c>
      <c r="V47" s="319">
        <f aca="true" t="shared" si="8" ref="V47:V117">S47+T47-U47</f>
        <v>25000</v>
      </c>
    </row>
    <row r="48" spans="1:22" ht="23.25" customHeight="1">
      <c r="A48" s="104"/>
      <c r="B48" s="107" t="s">
        <v>98</v>
      </c>
      <c r="C48" s="28"/>
      <c r="D48" s="28"/>
      <c r="E48" s="276">
        <v>2110</v>
      </c>
      <c r="F48" s="272"/>
      <c r="G48" s="273"/>
      <c r="H48" s="274"/>
      <c r="I48" s="275"/>
      <c r="J48" s="192"/>
      <c r="K48" s="192"/>
      <c r="L48" s="192"/>
      <c r="M48" s="192"/>
      <c r="N48" s="192"/>
      <c r="O48" s="192"/>
      <c r="P48" s="192"/>
      <c r="Q48" s="192"/>
      <c r="R48" s="192"/>
      <c r="S48" s="192">
        <v>25000</v>
      </c>
      <c r="T48" s="193">
        <v>0</v>
      </c>
      <c r="U48" s="193"/>
      <c r="V48" s="279">
        <f t="shared" si="8"/>
        <v>25000</v>
      </c>
    </row>
    <row r="49" spans="1:22" ht="17.25" customHeight="1">
      <c r="A49" s="372" t="s">
        <v>18</v>
      </c>
      <c r="B49" s="318" t="s">
        <v>292</v>
      </c>
      <c r="C49" s="321"/>
      <c r="D49" s="321">
        <v>71015</v>
      </c>
      <c r="E49" s="317"/>
      <c r="F49" s="313">
        <v>70702</v>
      </c>
      <c r="G49" s="314">
        <v>78920</v>
      </c>
      <c r="H49" s="315">
        <f>IF(F49&gt;0,G49/F49*100,"")</f>
        <v>111.62343356623575</v>
      </c>
      <c r="I49" s="316" t="e">
        <f>F49/F207</f>
        <v>#REF!</v>
      </c>
      <c r="J49" s="317"/>
      <c r="K49" s="317">
        <v>0</v>
      </c>
      <c r="L49" s="317">
        <v>0</v>
      </c>
      <c r="M49" s="317">
        <v>75563</v>
      </c>
      <c r="N49" s="317">
        <v>0</v>
      </c>
      <c r="O49" s="317">
        <v>0</v>
      </c>
      <c r="P49" s="317">
        <v>81866</v>
      </c>
      <c r="Q49" s="317">
        <v>0</v>
      </c>
      <c r="R49" s="317">
        <v>0</v>
      </c>
      <c r="S49" s="317">
        <f>S50+S51</f>
        <v>206378</v>
      </c>
      <c r="T49" s="317">
        <f>T50+T51</f>
        <v>60</v>
      </c>
      <c r="U49" s="405">
        <f>U50+U51</f>
        <v>0</v>
      </c>
      <c r="V49" s="319">
        <f t="shared" si="8"/>
        <v>206438</v>
      </c>
    </row>
    <row r="50" spans="1:22" ht="15" customHeight="1">
      <c r="A50" s="104"/>
      <c r="B50" s="107" t="s">
        <v>684</v>
      </c>
      <c r="C50" s="368"/>
      <c r="D50" s="368"/>
      <c r="E50" s="370" t="s">
        <v>124</v>
      </c>
      <c r="F50" s="305"/>
      <c r="G50" s="306"/>
      <c r="H50" s="307"/>
      <c r="I50" s="308"/>
      <c r="J50" s="298"/>
      <c r="K50" s="298"/>
      <c r="L50" s="298"/>
      <c r="M50" s="298"/>
      <c r="N50" s="298"/>
      <c r="O50" s="298"/>
      <c r="P50" s="298"/>
      <c r="Q50" s="298"/>
      <c r="R50" s="298"/>
      <c r="S50" s="298">
        <v>100</v>
      </c>
      <c r="T50" s="299">
        <v>60</v>
      </c>
      <c r="U50" s="299"/>
      <c r="V50" s="407">
        <f t="shared" si="8"/>
        <v>160</v>
      </c>
    </row>
    <row r="51" spans="1:22" ht="21" customHeight="1">
      <c r="A51" s="104"/>
      <c r="B51" s="107" t="s">
        <v>98</v>
      </c>
      <c r="C51" s="28"/>
      <c r="D51" s="28"/>
      <c r="E51" s="276">
        <v>2110</v>
      </c>
      <c r="F51" s="272"/>
      <c r="G51" s="273"/>
      <c r="H51" s="274"/>
      <c r="I51" s="275"/>
      <c r="J51" s="192"/>
      <c r="K51" s="192"/>
      <c r="L51" s="192"/>
      <c r="M51" s="192"/>
      <c r="N51" s="192"/>
      <c r="O51" s="192"/>
      <c r="P51" s="192"/>
      <c r="Q51" s="192"/>
      <c r="R51" s="192"/>
      <c r="S51" s="192">
        <v>206278</v>
      </c>
      <c r="T51" s="193">
        <v>0</v>
      </c>
      <c r="U51" s="193"/>
      <c r="V51" s="279">
        <f t="shared" si="8"/>
        <v>206278</v>
      </c>
    </row>
    <row r="52" spans="1:22" ht="24" customHeight="1">
      <c r="A52" s="372" t="s">
        <v>20</v>
      </c>
      <c r="B52" s="318" t="s">
        <v>776</v>
      </c>
      <c r="C52" s="321"/>
      <c r="D52" s="321">
        <v>71030</v>
      </c>
      <c r="E52" s="322"/>
      <c r="F52" s="313"/>
      <c r="G52" s="314"/>
      <c r="H52" s="315"/>
      <c r="I52" s="316"/>
      <c r="J52" s="317"/>
      <c r="K52" s="317"/>
      <c r="L52" s="317"/>
      <c r="M52" s="317"/>
      <c r="N52" s="317"/>
      <c r="O52" s="317"/>
      <c r="P52" s="317"/>
      <c r="Q52" s="317"/>
      <c r="R52" s="317"/>
      <c r="S52" s="317">
        <f>S53</f>
        <v>7000</v>
      </c>
      <c r="T52" s="317">
        <f>T53</f>
        <v>0</v>
      </c>
      <c r="U52" s="317">
        <f>U53</f>
        <v>0</v>
      </c>
      <c r="V52" s="319">
        <f t="shared" si="8"/>
        <v>7000</v>
      </c>
    </row>
    <row r="53" spans="1:22" ht="24.75" customHeight="1">
      <c r="A53" s="104"/>
      <c r="B53" s="107" t="s">
        <v>777</v>
      </c>
      <c r="C53" s="28"/>
      <c r="D53" s="28"/>
      <c r="E53" s="276">
        <v>2440</v>
      </c>
      <c r="F53" s="272"/>
      <c r="G53" s="273"/>
      <c r="H53" s="274"/>
      <c r="I53" s="275"/>
      <c r="J53" s="192"/>
      <c r="K53" s="192"/>
      <c r="L53" s="192"/>
      <c r="M53" s="192"/>
      <c r="N53" s="192"/>
      <c r="O53" s="192"/>
      <c r="P53" s="192"/>
      <c r="Q53" s="192"/>
      <c r="R53" s="192"/>
      <c r="S53" s="192">
        <v>7000</v>
      </c>
      <c r="T53" s="193">
        <v>0</v>
      </c>
      <c r="U53" s="193"/>
      <c r="V53" s="407">
        <f t="shared" si="8"/>
        <v>7000</v>
      </c>
    </row>
    <row r="54" spans="1:22" ht="16.5" customHeight="1">
      <c r="A54" s="215" t="s">
        <v>621</v>
      </c>
      <c r="B54" s="200" t="s">
        <v>705</v>
      </c>
      <c r="C54" s="196">
        <v>750</v>
      </c>
      <c r="D54" s="204"/>
      <c r="E54" s="302"/>
      <c r="F54" s="289">
        <f>F55+F63</f>
        <v>142453</v>
      </c>
      <c r="G54" s="290">
        <f>G55+G63</f>
        <v>144857</v>
      </c>
      <c r="H54" s="281">
        <f>IF(F54&gt;0,G54/F54*100,"")</f>
        <v>101.68757414726261</v>
      </c>
      <c r="I54" s="291" t="e">
        <f>F54/F207</f>
        <v>#REF!</v>
      </c>
      <c r="J54" s="271"/>
      <c r="K54" s="271">
        <f aca="true" t="shared" si="9" ref="K54:R54">K55+K63</f>
        <v>0</v>
      </c>
      <c r="L54" s="271">
        <f t="shared" si="9"/>
        <v>0</v>
      </c>
      <c r="M54" s="271">
        <f t="shared" si="9"/>
        <v>97055</v>
      </c>
      <c r="N54" s="271">
        <f t="shared" si="9"/>
        <v>0</v>
      </c>
      <c r="O54" s="271">
        <f t="shared" si="9"/>
        <v>0</v>
      </c>
      <c r="P54" s="282">
        <f t="shared" si="9"/>
        <v>103976</v>
      </c>
      <c r="Q54" s="282">
        <f t="shared" si="9"/>
        <v>0</v>
      </c>
      <c r="R54" s="282">
        <f t="shared" si="9"/>
        <v>0</v>
      </c>
      <c r="S54" s="282">
        <f>S55+S57+S63</f>
        <v>894663</v>
      </c>
      <c r="T54" s="282">
        <f>T55+T57+T63</f>
        <v>42873</v>
      </c>
      <c r="U54" s="406">
        <f>U55+U57+U63</f>
        <v>0</v>
      </c>
      <c r="V54" s="408">
        <f t="shared" si="8"/>
        <v>937536</v>
      </c>
    </row>
    <row r="55" spans="1:22" ht="15" customHeight="1">
      <c r="A55" s="372" t="s">
        <v>682</v>
      </c>
      <c r="B55" s="318" t="s">
        <v>683</v>
      </c>
      <c r="C55" s="321"/>
      <c r="D55" s="321">
        <v>75011</v>
      </c>
      <c r="E55" s="317"/>
      <c r="F55" s="313">
        <v>120453</v>
      </c>
      <c r="G55" s="314">
        <v>120857</v>
      </c>
      <c r="H55" s="315">
        <f>IF(F55&gt;0,G55/F55*100,"")</f>
        <v>100.33540052966717</v>
      </c>
      <c r="I55" s="316" t="e">
        <f>F55/F207</f>
        <v>#REF!</v>
      </c>
      <c r="J55" s="317"/>
      <c r="K55" s="317">
        <v>0</v>
      </c>
      <c r="L55" s="317">
        <v>0</v>
      </c>
      <c r="M55" s="317">
        <v>86463</v>
      </c>
      <c r="N55" s="317">
        <v>0</v>
      </c>
      <c r="O55" s="317">
        <v>0</v>
      </c>
      <c r="P55" s="317">
        <v>89799</v>
      </c>
      <c r="Q55" s="317">
        <v>0</v>
      </c>
      <c r="R55" s="317">
        <v>0</v>
      </c>
      <c r="S55" s="317">
        <f>S56</f>
        <v>102748</v>
      </c>
      <c r="T55" s="317">
        <f>T56</f>
        <v>0</v>
      </c>
      <c r="U55" s="405">
        <f>U56</f>
        <v>0</v>
      </c>
      <c r="V55" s="319">
        <f t="shared" si="8"/>
        <v>102748</v>
      </c>
    </row>
    <row r="56" spans="1:22" ht="21.75" customHeight="1">
      <c r="A56" s="104"/>
      <c r="B56" s="107" t="s">
        <v>98</v>
      </c>
      <c r="C56" s="28"/>
      <c r="D56" s="28"/>
      <c r="E56" s="276">
        <v>2110</v>
      </c>
      <c r="F56" s="272"/>
      <c r="G56" s="273"/>
      <c r="H56" s="274"/>
      <c r="I56" s="275"/>
      <c r="J56" s="192"/>
      <c r="K56" s="192"/>
      <c r="L56" s="192"/>
      <c r="M56" s="192"/>
      <c r="N56" s="192"/>
      <c r="O56" s="192"/>
      <c r="P56" s="192"/>
      <c r="Q56" s="192"/>
      <c r="R56" s="192"/>
      <c r="S56" s="192">
        <v>102748</v>
      </c>
      <c r="T56" s="193"/>
      <c r="U56" s="193"/>
      <c r="V56" s="279">
        <f t="shared" si="8"/>
        <v>102748</v>
      </c>
    </row>
    <row r="57" spans="1:22" s="73" customFormat="1" ht="15.75" customHeight="1">
      <c r="A57" s="371" t="s">
        <v>686</v>
      </c>
      <c r="B57" s="310" t="s">
        <v>706</v>
      </c>
      <c r="C57" s="325"/>
      <c r="D57" s="325">
        <v>75020</v>
      </c>
      <c r="E57" s="322"/>
      <c r="F57" s="313" t="e">
        <f>F58+F59+F60+#REF!+F61+F62</f>
        <v>#REF!</v>
      </c>
      <c r="G57" s="314" t="e">
        <f>G58+G59+G60+#REF!+G61+G62</f>
        <v>#REF!</v>
      </c>
      <c r="H57" s="315" t="e">
        <f aca="true" t="shared" si="10" ref="H57:H63">IF(F57&gt;0,G57/F57*100,"")</f>
        <v>#REF!</v>
      </c>
      <c r="I57" s="316" t="e">
        <f>F57/F207</f>
        <v>#REF!</v>
      </c>
      <c r="J57" s="317"/>
      <c r="K57" s="317" t="e">
        <f>K58+K59+K60+#REF!+K62</f>
        <v>#REF!</v>
      </c>
      <c r="L57" s="317" t="e">
        <f>L58+L59+L60+#REF!+L62</f>
        <v>#REF!</v>
      </c>
      <c r="M57" s="317" t="e">
        <f>M58+M59+M60+#REF!+M62+M61</f>
        <v>#REF!</v>
      </c>
      <c r="N57" s="317" t="e">
        <f>N58+N59+N60+#REF!+N62+N61</f>
        <v>#REF!</v>
      </c>
      <c r="O57" s="317" t="e">
        <f>O58+O59+O60+#REF!+O62+O61</f>
        <v>#REF!</v>
      </c>
      <c r="P57" s="319" t="e">
        <f>P58+P59+P60+#REF!+P62+P61</f>
        <v>#REF!</v>
      </c>
      <c r="Q57" s="319" t="e">
        <f>Q58+Q59+Q60+#REF!+Q62+Q61</f>
        <v>#REF!</v>
      </c>
      <c r="R57" s="319" t="e">
        <f>R58+R59+R60+#REF!+R62+R61</f>
        <v>#REF!</v>
      </c>
      <c r="S57" s="319">
        <f>S58+S59+S60+S61+S62</f>
        <v>778915</v>
      </c>
      <c r="T57" s="319">
        <f>T58+T59+T60+T61+T62</f>
        <v>42873</v>
      </c>
      <c r="U57" s="319">
        <f>U58+U59+U60+U61+U62</f>
        <v>0</v>
      </c>
      <c r="V57" s="319">
        <f>V58+V59+V60+V61+V62</f>
        <v>821788</v>
      </c>
    </row>
    <row r="58" spans="1:22" ht="15.75" customHeight="1">
      <c r="A58" s="104"/>
      <c r="B58" s="108" t="s">
        <v>707</v>
      </c>
      <c r="C58" s="13"/>
      <c r="D58" s="13"/>
      <c r="E58" s="278" t="s">
        <v>129</v>
      </c>
      <c r="F58" s="272">
        <v>500000</v>
      </c>
      <c r="G58" s="273">
        <v>650000</v>
      </c>
      <c r="H58" s="274">
        <f t="shared" si="10"/>
        <v>130</v>
      </c>
      <c r="I58" s="275" t="e">
        <f>F58/F207</f>
        <v>#REF!</v>
      </c>
      <c r="J58" s="192"/>
      <c r="K58" s="192">
        <v>0</v>
      </c>
      <c r="L58" s="192">
        <v>0</v>
      </c>
      <c r="M58" s="192">
        <v>529000</v>
      </c>
      <c r="N58" s="192">
        <v>0</v>
      </c>
      <c r="O58" s="192">
        <v>0</v>
      </c>
      <c r="P58" s="192">
        <v>523273</v>
      </c>
      <c r="Q58" s="192">
        <v>0</v>
      </c>
      <c r="R58" s="192">
        <v>0</v>
      </c>
      <c r="S58" s="192">
        <v>770000</v>
      </c>
      <c r="T58" s="193">
        <v>42174</v>
      </c>
      <c r="U58" s="193">
        <v>0</v>
      </c>
      <c r="V58" s="279">
        <f t="shared" si="8"/>
        <v>812174</v>
      </c>
    </row>
    <row r="59" spans="1:22" ht="15.75" customHeight="1">
      <c r="A59" s="104"/>
      <c r="B59" s="108" t="s">
        <v>688</v>
      </c>
      <c r="C59" s="13"/>
      <c r="D59" s="13"/>
      <c r="E59" s="278" t="s">
        <v>125</v>
      </c>
      <c r="F59" s="272">
        <v>10000</v>
      </c>
      <c r="G59" s="273">
        <v>10000</v>
      </c>
      <c r="H59" s="274">
        <f t="shared" si="10"/>
        <v>100</v>
      </c>
      <c r="I59" s="275" t="e">
        <f>F59/F207</f>
        <v>#REF!</v>
      </c>
      <c r="J59" s="192"/>
      <c r="K59" s="192">
        <v>0</v>
      </c>
      <c r="L59" s="192">
        <v>0</v>
      </c>
      <c r="M59" s="192">
        <v>1800</v>
      </c>
      <c r="N59" s="192">
        <v>0</v>
      </c>
      <c r="O59" s="192">
        <v>0</v>
      </c>
      <c r="P59" s="192">
        <v>1800</v>
      </c>
      <c r="Q59" s="192">
        <v>0</v>
      </c>
      <c r="R59" s="192">
        <v>0</v>
      </c>
      <c r="S59" s="192">
        <v>2900</v>
      </c>
      <c r="T59" s="193">
        <v>460</v>
      </c>
      <c r="U59" s="193"/>
      <c r="V59" s="279">
        <f t="shared" si="8"/>
        <v>3360</v>
      </c>
    </row>
    <row r="60" spans="1:22" ht="19.5" customHeight="1">
      <c r="A60" s="104"/>
      <c r="B60" s="107" t="s">
        <v>690</v>
      </c>
      <c r="C60" s="13"/>
      <c r="D60" s="13"/>
      <c r="E60" s="278" t="s">
        <v>126</v>
      </c>
      <c r="F60" s="272">
        <v>2000</v>
      </c>
      <c r="G60" s="273">
        <v>5000</v>
      </c>
      <c r="H60" s="274">
        <f t="shared" si="10"/>
        <v>250</v>
      </c>
      <c r="I60" s="275" t="e">
        <f>F60/F207</f>
        <v>#REF!</v>
      </c>
      <c r="J60" s="192"/>
      <c r="K60" s="192">
        <v>0</v>
      </c>
      <c r="L60" s="192">
        <v>0</v>
      </c>
      <c r="M60" s="192">
        <v>1070</v>
      </c>
      <c r="N60" s="192">
        <v>0</v>
      </c>
      <c r="O60" s="192">
        <v>0</v>
      </c>
      <c r="P60" s="192">
        <v>676</v>
      </c>
      <c r="Q60" s="192">
        <v>0</v>
      </c>
      <c r="R60" s="192">
        <v>0</v>
      </c>
      <c r="S60" s="192">
        <v>860</v>
      </c>
      <c r="T60" s="193">
        <v>15</v>
      </c>
      <c r="U60" s="193">
        <v>0</v>
      </c>
      <c r="V60" s="279">
        <f t="shared" si="8"/>
        <v>875</v>
      </c>
    </row>
    <row r="61" spans="1:22" ht="14.25" customHeight="1">
      <c r="A61" s="104"/>
      <c r="B61" s="108" t="s">
        <v>691</v>
      </c>
      <c r="C61" s="13"/>
      <c r="D61" s="13"/>
      <c r="E61" s="278" t="s">
        <v>127</v>
      </c>
      <c r="F61" s="272">
        <v>10000</v>
      </c>
      <c r="G61" s="273">
        <v>0</v>
      </c>
      <c r="H61" s="274">
        <f t="shared" si="10"/>
        <v>0</v>
      </c>
      <c r="I61" s="275" t="e">
        <f>F61/F207</f>
        <v>#REF!</v>
      </c>
      <c r="J61" s="192"/>
      <c r="K61" s="192"/>
      <c r="L61" s="192"/>
      <c r="M61" s="192">
        <v>4000</v>
      </c>
      <c r="N61" s="192">
        <v>0</v>
      </c>
      <c r="O61" s="192">
        <v>0</v>
      </c>
      <c r="P61" s="192">
        <v>2785</v>
      </c>
      <c r="Q61" s="192">
        <v>0</v>
      </c>
      <c r="R61" s="192">
        <v>0</v>
      </c>
      <c r="S61" s="192">
        <v>1555</v>
      </c>
      <c r="T61" s="193">
        <v>50</v>
      </c>
      <c r="U61" s="193"/>
      <c r="V61" s="279">
        <f t="shared" si="8"/>
        <v>1605</v>
      </c>
    </row>
    <row r="62" spans="1:22" ht="15.75" customHeight="1">
      <c r="A62" s="104"/>
      <c r="B62" s="107" t="s">
        <v>708</v>
      </c>
      <c r="C62" s="13"/>
      <c r="D62" s="13"/>
      <c r="E62" s="278" t="s">
        <v>128</v>
      </c>
      <c r="F62" s="272">
        <v>61000</v>
      </c>
      <c r="G62" s="273">
        <v>70000</v>
      </c>
      <c r="H62" s="274">
        <f t="shared" si="10"/>
        <v>114.75409836065573</v>
      </c>
      <c r="I62" s="275" t="e">
        <f>F62/F207</f>
        <v>#REF!</v>
      </c>
      <c r="J62" s="192"/>
      <c r="K62" s="192">
        <v>0</v>
      </c>
      <c r="L62" s="192">
        <v>0</v>
      </c>
      <c r="M62" s="192">
        <v>25000</v>
      </c>
      <c r="N62" s="192">
        <v>0</v>
      </c>
      <c r="O62" s="192">
        <v>0</v>
      </c>
      <c r="P62" s="192">
        <v>7765</v>
      </c>
      <c r="Q62" s="192">
        <v>0</v>
      </c>
      <c r="R62" s="192">
        <v>0</v>
      </c>
      <c r="S62" s="192">
        <v>3600</v>
      </c>
      <c r="T62" s="298">
        <v>174</v>
      </c>
      <c r="U62" s="193"/>
      <c r="V62" s="279">
        <f>S62+T62-U62</f>
        <v>3774</v>
      </c>
    </row>
    <row r="63" spans="1:22" ht="18" customHeight="1">
      <c r="A63" s="372" t="s">
        <v>18</v>
      </c>
      <c r="B63" s="318" t="s">
        <v>306</v>
      </c>
      <c r="C63" s="321"/>
      <c r="D63" s="321">
        <v>75045</v>
      </c>
      <c r="E63" s="317"/>
      <c r="F63" s="313">
        <v>22000</v>
      </c>
      <c r="G63" s="314">
        <v>24000</v>
      </c>
      <c r="H63" s="315">
        <f t="shared" si="10"/>
        <v>109.09090909090908</v>
      </c>
      <c r="I63" s="316" t="e">
        <f>F63/F207</f>
        <v>#REF!</v>
      </c>
      <c r="J63" s="317"/>
      <c r="K63" s="317">
        <v>0</v>
      </c>
      <c r="L63" s="317">
        <v>0</v>
      </c>
      <c r="M63" s="317">
        <v>10592</v>
      </c>
      <c r="N63" s="317">
        <v>0</v>
      </c>
      <c r="O63" s="317">
        <v>0</v>
      </c>
      <c r="P63" s="317">
        <v>14177</v>
      </c>
      <c r="Q63" s="317">
        <v>0</v>
      </c>
      <c r="R63" s="317">
        <v>0</v>
      </c>
      <c r="S63" s="317">
        <f>S64</f>
        <v>13000</v>
      </c>
      <c r="T63" s="317">
        <f>T64</f>
        <v>0</v>
      </c>
      <c r="U63" s="405">
        <f>U64</f>
        <v>0</v>
      </c>
      <c r="V63" s="319">
        <f>S63+T63-U63</f>
        <v>13000</v>
      </c>
    </row>
    <row r="64" spans="1:22" ht="23.25" customHeight="1">
      <c r="A64" s="104"/>
      <c r="B64" s="107" t="s">
        <v>98</v>
      </c>
      <c r="C64" s="28"/>
      <c r="D64" s="28"/>
      <c r="E64" s="276">
        <v>2110</v>
      </c>
      <c r="F64" s="272"/>
      <c r="G64" s="273"/>
      <c r="H64" s="274"/>
      <c r="I64" s="275"/>
      <c r="J64" s="192"/>
      <c r="K64" s="192"/>
      <c r="L64" s="192"/>
      <c r="M64" s="192"/>
      <c r="N64" s="192"/>
      <c r="O64" s="192"/>
      <c r="P64" s="192"/>
      <c r="Q64" s="192"/>
      <c r="R64" s="192"/>
      <c r="S64" s="192">
        <v>13000</v>
      </c>
      <c r="T64" s="193"/>
      <c r="U64" s="193"/>
      <c r="V64" s="279">
        <f t="shared" si="8"/>
        <v>13000</v>
      </c>
    </row>
    <row r="65" spans="1:22" ht="33" customHeight="1">
      <c r="A65" s="215" t="s">
        <v>623</v>
      </c>
      <c r="B65" s="473" t="s">
        <v>735</v>
      </c>
      <c r="C65" s="196"/>
      <c r="D65" s="196"/>
      <c r="E65" s="302"/>
      <c r="F65" s="289"/>
      <c r="G65" s="290"/>
      <c r="H65" s="281"/>
      <c r="I65" s="291"/>
      <c r="J65" s="271"/>
      <c r="K65" s="271"/>
      <c r="L65" s="271"/>
      <c r="M65" s="271"/>
      <c r="N65" s="271"/>
      <c r="O65" s="271"/>
      <c r="P65" s="271"/>
      <c r="Q65" s="271"/>
      <c r="R65" s="271"/>
      <c r="S65" s="271">
        <f aca="true" t="shared" si="11" ref="S65:U66">S66</f>
        <v>12520</v>
      </c>
      <c r="T65" s="271">
        <f t="shared" si="11"/>
        <v>0</v>
      </c>
      <c r="U65" s="271">
        <f t="shared" si="11"/>
        <v>0</v>
      </c>
      <c r="V65" s="282">
        <f>S65+T65-U65</f>
        <v>12520</v>
      </c>
    </row>
    <row r="66" spans="1:22" ht="22.5" customHeight="1">
      <c r="A66" s="463"/>
      <c r="B66" s="487" t="s">
        <v>738</v>
      </c>
      <c r="C66" s="464"/>
      <c r="D66" s="464">
        <v>75109</v>
      </c>
      <c r="E66" s="465"/>
      <c r="F66" s="466"/>
      <c r="G66" s="467"/>
      <c r="H66" s="468"/>
      <c r="I66" s="469"/>
      <c r="J66" s="470"/>
      <c r="K66" s="470"/>
      <c r="L66" s="470"/>
      <c r="M66" s="470"/>
      <c r="N66" s="470"/>
      <c r="O66" s="470"/>
      <c r="P66" s="470"/>
      <c r="Q66" s="470"/>
      <c r="R66" s="470"/>
      <c r="S66" s="470">
        <f t="shared" si="11"/>
        <v>12520</v>
      </c>
      <c r="T66" s="471">
        <f t="shared" si="11"/>
        <v>0</v>
      </c>
      <c r="U66" s="471">
        <f t="shared" si="11"/>
        <v>0</v>
      </c>
      <c r="V66" s="472">
        <f>S66+T66-U66</f>
        <v>12520</v>
      </c>
    </row>
    <row r="67" spans="1:22" ht="22.5" customHeight="1">
      <c r="A67" s="104"/>
      <c r="B67" s="107" t="s">
        <v>98</v>
      </c>
      <c r="C67" s="28"/>
      <c r="D67" s="28"/>
      <c r="E67" s="276">
        <v>2110</v>
      </c>
      <c r="F67" s="272"/>
      <c r="G67" s="273"/>
      <c r="H67" s="274"/>
      <c r="I67" s="275"/>
      <c r="J67" s="192"/>
      <c r="K67" s="192"/>
      <c r="L67" s="192"/>
      <c r="M67" s="192"/>
      <c r="N67" s="192"/>
      <c r="O67" s="192"/>
      <c r="P67" s="192"/>
      <c r="Q67" s="192"/>
      <c r="R67" s="192"/>
      <c r="S67" s="192">
        <v>12520</v>
      </c>
      <c r="T67" s="193">
        <v>0</v>
      </c>
      <c r="U67" s="193"/>
      <c r="V67" s="407">
        <f>S67+T67-U67</f>
        <v>12520</v>
      </c>
    </row>
    <row r="68" spans="1:22" ht="24.75" customHeight="1">
      <c r="A68" s="215" t="s">
        <v>606</v>
      </c>
      <c r="B68" s="473" t="s">
        <v>12</v>
      </c>
      <c r="C68" s="196">
        <v>754</v>
      </c>
      <c r="D68" s="204"/>
      <c r="E68" s="268"/>
      <c r="F68" s="269" t="e">
        <f>#REF!+F69</f>
        <v>#REF!</v>
      </c>
      <c r="G68" s="290" t="e">
        <f>#REF!+G69</f>
        <v>#REF!</v>
      </c>
      <c r="H68" s="281" t="e">
        <f>IF(F68&gt;0,G68/F68*100,"")</f>
        <v>#REF!</v>
      </c>
      <c r="I68" s="291" t="e">
        <f>F68/F207</f>
        <v>#REF!</v>
      </c>
      <c r="J68" s="271"/>
      <c r="K68" s="271" t="e">
        <f>#REF!+K69</f>
        <v>#REF!</v>
      </c>
      <c r="L68" s="271" t="e">
        <f>#REF!+L69</f>
        <v>#REF!</v>
      </c>
      <c r="M68" s="271" t="e">
        <f>#REF!+M69</f>
        <v>#REF!</v>
      </c>
      <c r="N68" s="271" t="e">
        <f>#REF!+N69</f>
        <v>#REF!</v>
      </c>
      <c r="O68" s="271" t="e">
        <f>#REF!+O69</f>
        <v>#REF!</v>
      </c>
      <c r="P68" s="282" t="e">
        <f>#REF!+P69</f>
        <v>#REF!</v>
      </c>
      <c r="Q68" s="282" t="e">
        <f>#REF!+Q69</f>
        <v>#REF!</v>
      </c>
      <c r="R68" s="282" t="e">
        <f>#REF!+R69</f>
        <v>#REF!</v>
      </c>
      <c r="S68" s="282">
        <f>S69+S76</f>
        <v>2286130</v>
      </c>
      <c r="T68" s="282">
        <f>T69+T76</f>
        <v>300</v>
      </c>
      <c r="U68" s="406">
        <f>U69+U76</f>
        <v>0</v>
      </c>
      <c r="V68" s="282">
        <f t="shared" si="8"/>
        <v>2286430</v>
      </c>
    </row>
    <row r="69" spans="1:22" ht="24" customHeight="1">
      <c r="A69" s="372" t="s">
        <v>682</v>
      </c>
      <c r="B69" s="318" t="s">
        <v>548</v>
      </c>
      <c r="C69" s="321"/>
      <c r="D69" s="321">
        <v>75411</v>
      </c>
      <c r="E69" s="317"/>
      <c r="F69" s="313">
        <v>2662024</v>
      </c>
      <c r="G69" s="314">
        <v>2874880</v>
      </c>
      <c r="H69" s="315">
        <f>IF(F69&gt;0,G69/F69*100,"")</f>
        <v>107.99602107268755</v>
      </c>
      <c r="I69" s="316" t="e">
        <f>F69/F207</f>
        <v>#REF!</v>
      </c>
      <c r="J69" s="317"/>
      <c r="K69" s="317">
        <v>0</v>
      </c>
      <c r="L69" s="317">
        <v>0</v>
      </c>
      <c r="M69" s="317">
        <v>1730000</v>
      </c>
      <c r="N69" s="317">
        <v>0</v>
      </c>
      <c r="O69" s="317">
        <v>0</v>
      </c>
      <c r="P69" s="317">
        <v>1833000</v>
      </c>
      <c r="Q69" s="317">
        <v>0</v>
      </c>
      <c r="R69" s="317">
        <v>0</v>
      </c>
      <c r="S69" s="317">
        <f>S70+S71+S72+S73+S74+S75</f>
        <v>2283130</v>
      </c>
      <c r="T69" s="317">
        <f>T70+T71+T72+T73+T74+T75</f>
        <v>300</v>
      </c>
      <c r="U69" s="405">
        <f>U70+U71+U72+U73+U74+U75</f>
        <v>0</v>
      </c>
      <c r="V69" s="319">
        <f t="shared" si="8"/>
        <v>2283430</v>
      </c>
    </row>
    <row r="70" spans="1:22" ht="18.75" customHeight="1">
      <c r="A70" s="104"/>
      <c r="B70" s="107" t="s">
        <v>684</v>
      </c>
      <c r="C70" s="368"/>
      <c r="D70" s="368"/>
      <c r="E70" s="309" t="s">
        <v>124</v>
      </c>
      <c r="F70" s="305"/>
      <c r="G70" s="306"/>
      <c r="H70" s="307"/>
      <c r="I70" s="308"/>
      <c r="J70" s="298"/>
      <c r="K70" s="298"/>
      <c r="L70" s="298"/>
      <c r="M70" s="298"/>
      <c r="N70" s="298"/>
      <c r="O70" s="298"/>
      <c r="P70" s="298"/>
      <c r="Q70" s="298"/>
      <c r="R70" s="298"/>
      <c r="S70" s="298">
        <v>1130</v>
      </c>
      <c r="T70" s="299">
        <v>300</v>
      </c>
      <c r="U70" s="299"/>
      <c r="V70" s="407">
        <f t="shared" si="8"/>
        <v>1430</v>
      </c>
    </row>
    <row r="71" spans="1:22" ht="18.75" customHeight="1">
      <c r="A71" s="104"/>
      <c r="B71" s="107" t="s">
        <v>708</v>
      </c>
      <c r="C71" s="368"/>
      <c r="D71" s="368"/>
      <c r="E71" s="309" t="s">
        <v>128</v>
      </c>
      <c r="F71" s="305"/>
      <c r="G71" s="306"/>
      <c r="H71" s="307"/>
      <c r="I71" s="308"/>
      <c r="J71" s="298"/>
      <c r="K71" s="298"/>
      <c r="L71" s="298"/>
      <c r="M71" s="298"/>
      <c r="N71" s="298"/>
      <c r="O71" s="298"/>
      <c r="P71" s="298"/>
      <c r="Q71" s="298"/>
      <c r="R71" s="298"/>
      <c r="S71" s="298">
        <v>50000</v>
      </c>
      <c r="T71" s="299">
        <v>0</v>
      </c>
      <c r="U71" s="299"/>
      <c r="V71" s="407">
        <f t="shared" si="8"/>
        <v>50000</v>
      </c>
    </row>
    <row r="72" spans="1:22" ht="21" customHeight="1">
      <c r="A72" s="104"/>
      <c r="B72" s="107" t="s">
        <v>98</v>
      </c>
      <c r="C72" s="28"/>
      <c r="D72" s="28"/>
      <c r="E72" s="276">
        <v>2110</v>
      </c>
      <c r="F72" s="272"/>
      <c r="G72" s="273"/>
      <c r="H72" s="274"/>
      <c r="I72" s="275"/>
      <c r="J72" s="192"/>
      <c r="K72" s="192"/>
      <c r="L72" s="192"/>
      <c r="M72" s="192"/>
      <c r="N72" s="192"/>
      <c r="O72" s="192"/>
      <c r="P72" s="192"/>
      <c r="Q72" s="192"/>
      <c r="R72" s="192"/>
      <c r="S72" s="192">
        <v>2201000</v>
      </c>
      <c r="T72" s="193"/>
      <c r="U72" s="193">
        <v>0</v>
      </c>
      <c r="V72" s="279">
        <f t="shared" si="8"/>
        <v>2201000</v>
      </c>
    </row>
    <row r="73" spans="1:22" ht="21.75" customHeight="1">
      <c r="A73" s="217"/>
      <c r="B73" s="107" t="s">
        <v>98</v>
      </c>
      <c r="C73" s="28"/>
      <c r="D73" s="17"/>
      <c r="E73" s="276">
        <v>2310</v>
      </c>
      <c r="F73" s="292"/>
      <c r="G73" s="293"/>
      <c r="H73" s="294"/>
      <c r="I73" s="295"/>
      <c r="J73" s="194"/>
      <c r="K73" s="194"/>
      <c r="L73" s="194"/>
      <c r="M73" s="194"/>
      <c r="N73" s="194"/>
      <c r="O73" s="194"/>
      <c r="P73" s="192"/>
      <c r="Q73" s="192"/>
      <c r="R73" s="192"/>
      <c r="S73" s="192">
        <v>1000</v>
      </c>
      <c r="T73" s="193"/>
      <c r="U73" s="193"/>
      <c r="V73" s="279">
        <f t="shared" si="8"/>
        <v>1000</v>
      </c>
    </row>
    <row r="74" spans="1:22" ht="21.75" customHeight="1">
      <c r="A74" s="217"/>
      <c r="B74" s="107" t="s">
        <v>66</v>
      </c>
      <c r="C74" s="28"/>
      <c r="D74" s="17"/>
      <c r="E74" s="276">
        <v>6610</v>
      </c>
      <c r="F74" s="292"/>
      <c r="G74" s="293"/>
      <c r="H74" s="294"/>
      <c r="I74" s="295"/>
      <c r="J74" s="194"/>
      <c r="K74" s="194"/>
      <c r="L74" s="194"/>
      <c r="M74" s="194"/>
      <c r="N74" s="194"/>
      <c r="O74" s="194"/>
      <c r="P74" s="192"/>
      <c r="Q74" s="192"/>
      <c r="R74" s="192"/>
      <c r="S74" s="192">
        <v>10000</v>
      </c>
      <c r="T74" s="193">
        <v>0</v>
      </c>
      <c r="U74" s="193"/>
      <c r="V74" s="279">
        <f t="shared" si="8"/>
        <v>10000</v>
      </c>
    </row>
    <row r="75" spans="1:22" ht="34.5" customHeight="1">
      <c r="A75" s="217"/>
      <c r="B75" s="107" t="s">
        <v>741</v>
      </c>
      <c r="C75" s="28"/>
      <c r="D75" s="17"/>
      <c r="E75" s="276">
        <v>6630</v>
      </c>
      <c r="F75" s="292"/>
      <c r="G75" s="293"/>
      <c r="H75" s="294"/>
      <c r="I75" s="295"/>
      <c r="J75" s="194"/>
      <c r="K75" s="194"/>
      <c r="L75" s="194"/>
      <c r="M75" s="194"/>
      <c r="N75" s="194"/>
      <c r="O75" s="194"/>
      <c r="P75" s="192"/>
      <c r="Q75" s="192"/>
      <c r="R75" s="192"/>
      <c r="S75" s="192">
        <v>20000</v>
      </c>
      <c r="T75" s="193">
        <v>0</v>
      </c>
      <c r="U75" s="193"/>
      <c r="V75" s="279">
        <f t="shared" si="8"/>
        <v>20000</v>
      </c>
    </row>
    <row r="76" spans="1:22" ht="20.25" customHeight="1">
      <c r="A76" s="372" t="s">
        <v>686</v>
      </c>
      <c r="B76" s="318" t="s">
        <v>418</v>
      </c>
      <c r="C76" s="321"/>
      <c r="D76" s="321">
        <v>75414</v>
      </c>
      <c r="E76" s="317"/>
      <c r="F76" s="313"/>
      <c r="G76" s="314"/>
      <c r="H76" s="315"/>
      <c r="I76" s="316"/>
      <c r="J76" s="317"/>
      <c r="K76" s="317"/>
      <c r="L76" s="317"/>
      <c r="M76" s="317"/>
      <c r="N76" s="317"/>
      <c r="O76" s="317"/>
      <c r="P76" s="317"/>
      <c r="Q76" s="317"/>
      <c r="R76" s="317"/>
      <c r="S76" s="317">
        <f>S84</f>
        <v>3000</v>
      </c>
      <c r="T76" s="317">
        <f>T84</f>
        <v>0</v>
      </c>
      <c r="U76" s="405">
        <f>U84</f>
        <v>0</v>
      </c>
      <c r="V76" s="319">
        <f t="shared" si="8"/>
        <v>3000</v>
      </c>
    </row>
    <row r="77" spans="1:22" ht="21.75" customHeight="1" hidden="1">
      <c r="A77" s="217" t="s">
        <v>686</v>
      </c>
      <c r="B77" s="3" t="s">
        <v>309</v>
      </c>
      <c r="C77" s="22"/>
      <c r="D77" s="22" t="s">
        <v>308</v>
      </c>
      <c r="E77" s="301"/>
      <c r="F77" s="292"/>
      <c r="G77" s="293"/>
      <c r="H77" s="294"/>
      <c r="I77" s="295"/>
      <c r="J77" s="194"/>
      <c r="K77" s="194"/>
      <c r="L77" s="194"/>
      <c r="M77" s="194">
        <f aca="true" t="shared" si="12" ref="M77:R77">M78</f>
        <v>3050</v>
      </c>
      <c r="N77" s="194">
        <f t="shared" si="12"/>
        <v>0</v>
      </c>
      <c r="O77" s="194">
        <f t="shared" si="12"/>
        <v>0</v>
      </c>
      <c r="P77" s="194">
        <f t="shared" si="12"/>
        <v>0</v>
      </c>
      <c r="Q77" s="194">
        <f t="shared" si="12"/>
        <v>0</v>
      </c>
      <c r="R77" s="194">
        <f t="shared" si="12"/>
        <v>0</v>
      </c>
      <c r="S77" s="192"/>
      <c r="T77" s="193"/>
      <c r="U77" s="193"/>
      <c r="V77" s="279">
        <f t="shared" si="8"/>
        <v>0</v>
      </c>
    </row>
    <row r="78" spans="1:22" ht="0.75" customHeight="1" hidden="1">
      <c r="A78" s="104"/>
      <c r="B78" s="8" t="s">
        <v>93</v>
      </c>
      <c r="C78" s="13"/>
      <c r="D78" s="13"/>
      <c r="E78" s="278" t="s">
        <v>92</v>
      </c>
      <c r="F78" s="272"/>
      <c r="G78" s="273"/>
      <c r="H78" s="274"/>
      <c r="I78" s="275"/>
      <c r="J78" s="192"/>
      <c r="K78" s="192"/>
      <c r="L78" s="192"/>
      <c r="M78" s="192">
        <v>3050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/>
      <c r="T78" s="193"/>
      <c r="U78" s="193"/>
      <c r="V78" s="279">
        <f t="shared" si="8"/>
        <v>0</v>
      </c>
    </row>
    <row r="79" spans="1:22" ht="25.5" customHeight="1" hidden="1">
      <c r="A79" s="217" t="s">
        <v>588</v>
      </c>
      <c r="B79" s="3" t="s">
        <v>12</v>
      </c>
      <c r="C79" s="44">
        <v>754</v>
      </c>
      <c r="D79" s="28"/>
      <c r="E79" s="276"/>
      <c r="F79" s="272">
        <f>F80+F82</f>
        <v>18600</v>
      </c>
      <c r="G79" s="293">
        <f>G80+G82</f>
        <v>19700</v>
      </c>
      <c r="H79" s="294">
        <f>IF(F79&gt;0,G79/F79*100,"")</f>
        <v>105.91397849462365</v>
      </c>
      <c r="I79" s="295" t="e">
        <f>F79/F207</f>
        <v>#REF!</v>
      </c>
      <c r="J79" s="194"/>
      <c r="K79" s="194">
        <f aca="true" t="shared" si="13" ref="K79:P79">K80+K82</f>
        <v>0</v>
      </c>
      <c r="L79" s="194">
        <f t="shared" si="13"/>
        <v>0</v>
      </c>
      <c r="M79" s="194">
        <f t="shared" si="13"/>
        <v>6000</v>
      </c>
      <c r="N79" s="194">
        <f t="shared" si="13"/>
        <v>0</v>
      </c>
      <c r="O79" s="194">
        <f t="shared" si="13"/>
        <v>0</v>
      </c>
      <c r="P79" s="296">
        <f t="shared" si="13"/>
        <v>1000</v>
      </c>
      <c r="Q79" s="296">
        <f>Q80+Q82</f>
        <v>0</v>
      </c>
      <c r="R79" s="296">
        <f>R80+R82</f>
        <v>0</v>
      </c>
      <c r="S79" s="296">
        <f>S80+S82</f>
        <v>0</v>
      </c>
      <c r="T79" s="303"/>
      <c r="U79" s="303"/>
      <c r="V79" s="279">
        <f t="shared" si="8"/>
        <v>0</v>
      </c>
    </row>
    <row r="80" spans="1:22" ht="21.75" customHeight="1" hidden="1">
      <c r="A80" s="217" t="s">
        <v>682</v>
      </c>
      <c r="B80" s="6" t="s">
        <v>338</v>
      </c>
      <c r="C80" s="44"/>
      <c r="D80" s="44">
        <v>75405</v>
      </c>
      <c r="E80" s="304"/>
      <c r="F80" s="292">
        <f>F81</f>
        <v>9000</v>
      </c>
      <c r="G80" s="293">
        <f>G81</f>
        <v>9700</v>
      </c>
      <c r="H80" s="294">
        <f>IF(F80&gt;0,G80/F80*100,"")</f>
        <v>107.77777777777777</v>
      </c>
      <c r="I80" s="295" t="e">
        <f>F80/F207</f>
        <v>#REF!</v>
      </c>
      <c r="J80" s="194"/>
      <c r="K80" s="194">
        <f aca="true" t="shared" si="14" ref="K80:R80">K81</f>
        <v>0</v>
      </c>
      <c r="L80" s="194">
        <f t="shared" si="14"/>
        <v>0</v>
      </c>
      <c r="M80" s="194">
        <f t="shared" si="14"/>
        <v>5000</v>
      </c>
      <c r="N80" s="194">
        <f t="shared" si="14"/>
        <v>0</v>
      </c>
      <c r="O80" s="194">
        <f t="shared" si="14"/>
        <v>0</v>
      </c>
      <c r="P80" s="296">
        <f t="shared" si="14"/>
        <v>0</v>
      </c>
      <c r="Q80" s="296">
        <f t="shared" si="14"/>
        <v>0</v>
      </c>
      <c r="R80" s="296">
        <f t="shared" si="14"/>
        <v>0</v>
      </c>
      <c r="S80" s="192"/>
      <c r="T80" s="193"/>
      <c r="U80" s="193"/>
      <c r="V80" s="279">
        <f t="shared" si="8"/>
        <v>0</v>
      </c>
    </row>
    <row r="81" spans="1:22" ht="0.75" customHeight="1" hidden="1">
      <c r="A81" s="104"/>
      <c r="B81" s="8" t="s">
        <v>684</v>
      </c>
      <c r="C81" s="13"/>
      <c r="D81" s="13"/>
      <c r="E81" s="278" t="s">
        <v>685</v>
      </c>
      <c r="F81" s="272">
        <v>9000</v>
      </c>
      <c r="G81" s="273">
        <v>9700</v>
      </c>
      <c r="H81" s="274">
        <f>IF(F81&gt;0,G81/F81*100,"")</f>
        <v>107.77777777777777</v>
      </c>
      <c r="I81" s="275" t="e">
        <f>F81/F207</f>
        <v>#REF!</v>
      </c>
      <c r="J81" s="192"/>
      <c r="K81" s="192">
        <v>0</v>
      </c>
      <c r="L81" s="192">
        <v>0</v>
      </c>
      <c r="M81" s="192">
        <v>5000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/>
      <c r="T81" s="193"/>
      <c r="U81" s="193"/>
      <c r="V81" s="279">
        <f t="shared" si="8"/>
        <v>0</v>
      </c>
    </row>
    <row r="82" spans="1:22" ht="24.75" customHeight="1" hidden="1">
      <c r="A82" s="217" t="s">
        <v>682</v>
      </c>
      <c r="B82" s="3" t="s">
        <v>548</v>
      </c>
      <c r="C82" s="22"/>
      <c r="D82" s="22" t="s">
        <v>353</v>
      </c>
      <c r="E82" s="301"/>
      <c r="F82" s="292">
        <f>F83</f>
        <v>9600</v>
      </c>
      <c r="G82" s="293">
        <f>G83</f>
        <v>10000</v>
      </c>
      <c r="H82" s="294">
        <f>IF(F82&gt;0,G82/F82*100,"")</f>
        <v>104.16666666666667</v>
      </c>
      <c r="I82" s="295" t="e">
        <f>F82/F207</f>
        <v>#REF!</v>
      </c>
      <c r="J82" s="194"/>
      <c r="K82" s="194">
        <f aca="true" t="shared" si="15" ref="K82:S82">K83</f>
        <v>0</v>
      </c>
      <c r="L82" s="194">
        <f t="shared" si="15"/>
        <v>0</v>
      </c>
      <c r="M82" s="194">
        <f t="shared" si="15"/>
        <v>1000</v>
      </c>
      <c r="N82" s="194">
        <f t="shared" si="15"/>
        <v>0</v>
      </c>
      <c r="O82" s="194">
        <f t="shared" si="15"/>
        <v>0</v>
      </c>
      <c r="P82" s="296">
        <f t="shared" si="15"/>
        <v>1000</v>
      </c>
      <c r="Q82" s="296">
        <f t="shared" si="15"/>
        <v>0</v>
      </c>
      <c r="R82" s="296">
        <f t="shared" si="15"/>
        <v>0</v>
      </c>
      <c r="S82" s="296">
        <f t="shared" si="15"/>
        <v>0</v>
      </c>
      <c r="T82" s="303"/>
      <c r="U82" s="303"/>
      <c r="V82" s="279">
        <f t="shared" si="8"/>
        <v>0</v>
      </c>
    </row>
    <row r="83" spans="1:22" ht="13.5" customHeight="1" hidden="1">
      <c r="A83" s="104"/>
      <c r="B83" s="8" t="s">
        <v>684</v>
      </c>
      <c r="C83" s="13"/>
      <c r="D83" s="13"/>
      <c r="E83" s="278" t="s">
        <v>124</v>
      </c>
      <c r="F83" s="272">
        <v>9600</v>
      </c>
      <c r="G83" s="273">
        <v>10000</v>
      </c>
      <c r="H83" s="274">
        <f>IF(F83&gt;0,G83/F83*100,"")</f>
        <v>104.16666666666667</v>
      </c>
      <c r="I83" s="275" t="e">
        <f>F83/F207</f>
        <v>#REF!</v>
      </c>
      <c r="J83" s="192"/>
      <c r="K83" s="192">
        <v>0</v>
      </c>
      <c r="L83" s="192">
        <v>0</v>
      </c>
      <c r="M83" s="192">
        <v>1000</v>
      </c>
      <c r="N83" s="192">
        <v>0</v>
      </c>
      <c r="O83" s="192">
        <v>0</v>
      </c>
      <c r="P83" s="192">
        <v>1000</v>
      </c>
      <c r="Q83" s="192">
        <v>0</v>
      </c>
      <c r="R83" s="192">
        <v>0</v>
      </c>
      <c r="S83" s="192">
        <v>0</v>
      </c>
      <c r="T83" s="193"/>
      <c r="U83" s="193"/>
      <c r="V83" s="279">
        <f t="shared" si="8"/>
        <v>0</v>
      </c>
    </row>
    <row r="84" spans="1:22" ht="24.75" customHeight="1">
      <c r="A84" s="104"/>
      <c r="B84" s="107" t="s">
        <v>98</v>
      </c>
      <c r="C84" s="13"/>
      <c r="D84" s="13"/>
      <c r="E84" s="276">
        <v>2110</v>
      </c>
      <c r="F84" s="272"/>
      <c r="G84" s="273"/>
      <c r="H84" s="274"/>
      <c r="I84" s="275"/>
      <c r="J84" s="192"/>
      <c r="K84" s="192"/>
      <c r="L84" s="192"/>
      <c r="M84" s="192"/>
      <c r="N84" s="192"/>
      <c r="O84" s="192"/>
      <c r="P84" s="192"/>
      <c r="Q84" s="192"/>
      <c r="R84" s="192"/>
      <c r="S84" s="192">
        <v>3000</v>
      </c>
      <c r="T84" s="193"/>
      <c r="U84" s="193"/>
      <c r="V84" s="279">
        <f t="shared" si="8"/>
        <v>3000</v>
      </c>
    </row>
    <row r="85" spans="1:22" ht="35.25" customHeight="1">
      <c r="A85" s="215" t="s">
        <v>672</v>
      </c>
      <c r="B85" s="205" t="s">
        <v>142</v>
      </c>
      <c r="C85" s="201" t="s">
        <v>13</v>
      </c>
      <c r="D85" s="203"/>
      <c r="E85" s="300"/>
      <c r="F85" s="269">
        <f>F86</f>
        <v>285742</v>
      </c>
      <c r="G85" s="290">
        <f>G86</f>
        <v>239445</v>
      </c>
      <c r="H85" s="281">
        <f>IF(F85&gt;0,G85/F85*100,"")</f>
        <v>83.79762163070183</v>
      </c>
      <c r="I85" s="291" t="e">
        <f>F85/F207</f>
        <v>#REF!</v>
      </c>
      <c r="J85" s="271"/>
      <c r="K85" s="271">
        <f aca="true" t="shared" si="16" ref="K85:U86">K86</f>
        <v>0</v>
      </c>
      <c r="L85" s="271">
        <f t="shared" si="16"/>
        <v>0</v>
      </c>
      <c r="M85" s="271">
        <f t="shared" si="16"/>
        <v>134163</v>
      </c>
      <c r="N85" s="271">
        <f t="shared" si="16"/>
        <v>0</v>
      </c>
      <c r="O85" s="271">
        <f t="shared" si="16"/>
        <v>0</v>
      </c>
      <c r="P85" s="282">
        <f t="shared" si="16"/>
        <v>141331</v>
      </c>
      <c r="Q85" s="282">
        <f t="shared" si="16"/>
        <v>0</v>
      </c>
      <c r="R85" s="282">
        <f t="shared" si="16"/>
        <v>0</v>
      </c>
      <c r="S85" s="282">
        <f t="shared" si="16"/>
        <v>2056187</v>
      </c>
      <c r="T85" s="282">
        <f t="shared" si="16"/>
        <v>0</v>
      </c>
      <c r="U85" s="406">
        <f t="shared" si="16"/>
        <v>6100</v>
      </c>
      <c r="V85" s="408">
        <f t="shared" si="8"/>
        <v>2050087</v>
      </c>
    </row>
    <row r="86" spans="1:22" s="73" customFormat="1" ht="26.25" customHeight="1">
      <c r="A86" s="371" t="s">
        <v>682</v>
      </c>
      <c r="B86" s="485" t="s">
        <v>140</v>
      </c>
      <c r="C86" s="311"/>
      <c r="D86" s="311" t="s">
        <v>14</v>
      </c>
      <c r="E86" s="312"/>
      <c r="F86" s="313">
        <f>F87</f>
        <v>285742</v>
      </c>
      <c r="G86" s="314">
        <f>G87</f>
        <v>239445</v>
      </c>
      <c r="H86" s="315">
        <f>IF(F86&gt;0,G86/F86*100,"")</f>
        <v>83.79762163070183</v>
      </c>
      <c r="I86" s="316" t="e">
        <f>F86/F207</f>
        <v>#REF!</v>
      </c>
      <c r="J86" s="317"/>
      <c r="K86" s="317">
        <f t="shared" si="16"/>
        <v>0</v>
      </c>
      <c r="L86" s="317">
        <f t="shared" si="16"/>
        <v>0</v>
      </c>
      <c r="M86" s="317">
        <f t="shared" si="16"/>
        <v>134163</v>
      </c>
      <c r="N86" s="317">
        <f t="shared" si="16"/>
        <v>0</v>
      </c>
      <c r="O86" s="317">
        <f t="shared" si="16"/>
        <v>0</v>
      </c>
      <c r="P86" s="319">
        <f t="shared" si="16"/>
        <v>141331</v>
      </c>
      <c r="Q86" s="319">
        <f t="shared" si="16"/>
        <v>0</v>
      </c>
      <c r="R86" s="319">
        <f t="shared" si="16"/>
        <v>0</v>
      </c>
      <c r="S86" s="319">
        <f>S87+S88</f>
        <v>2056187</v>
      </c>
      <c r="T86" s="319">
        <f>T87+T88</f>
        <v>0</v>
      </c>
      <c r="U86" s="323">
        <f>U87+U88</f>
        <v>6100</v>
      </c>
      <c r="V86" s="319">
        <f t="shared" si="8"/>
        <v>2050087</v>
      </c>
    </row>
    <row r="87" spans="1:22" ht="19.5" customHeight="1">
      <c r="A87" s="104"/>
      <c r="B87" s="107" t="s">
        <v>141</v>
      </c>
      <c r="C87" s="13"/>
      <c r="D87" s="13"/>
      <c r="E87" s="278" t="s">
        <v>130</v>
      </c>
      <c r="F87" s="272">
        <v>285742</v>
      </c>
      <c r="G87" s="273">
        <v>239445</v>
      </c>
      <c r="H87" s="274">
        <f>IF(F87&gt;0,G87/F87*100,"")</f>
        <v>83.79762163070183</v>
      </c>
      <c r="I87" s="275" t="e">
        <f>F87/F207</f>
        <v>#REF!</v>
      </c>
      <c r="J87" s="192"/>
      <c r="K87" s="192">
        <v>0</v>
      </c>
      <c r="L87" s="192">
        <v>0</v>
      </c>
      <c r="M87" s="192">
        <v>134163</v>
      </c>
      <c r="N87" s="192">
        <v>0</v>
      </c>
      <c r="O87" s="192">
        <v>0</v>
      </c>
      <c r="P87" s="192">
        <v>141331</v>
      </c>
      <c r="Q87" s="192">
        <v>0</v>
      </c>
      <c r="R87" s="192">
        <v>0</v>
      </c>
      <c r="S87" s="192">
        <v>1971187</v>
      </c>
      <c r="T87" s="193">
        <v>0</v>
      </c>
      <c r="U87" s="193"/>
      <c r="V87" s="279">
        <f t="shared" si="8"/>
        <v>1971187</v>
      </c>
    </row>
    <row r="88" spans="1:22" ht="19.5" customHeight="1">
      <c r="A88" s="104"/>
      <c r="B88" s="107" t="s">
        <v>269</v>
      </c>
      <c r="C88" s="13"/>
      <c r="D88" s="13"/>
      <c r="E88" s="278" t="s">
        <v>131</v>
      </c>
      <c r="F88" s="272"/>
      <c r="G88" s="273"/>
      <c r="H88" s="274"/>
      <c r="I88" s="275"/>
      <c r="J88" s="192"/>
      <c r="K88" s="192"/>
      <c r="L88" s="192"/>
      <c r="M88" s="192"/>
      <c r="N88" s="192"/>
      <c r="O88" s="192"/>
      <c r="P88" s="192"/>
      <c r="Q88" s="192"/>
      <c r="R88" s="192"/>
      <c r="S88" s="192">
        <v>85000</v>
      </c>
      <c r="T88" s="193"/>
      <c r="U88" s="193">
        <v>6100</v>
      </c>
      <c r="V88" s="279">
        <f t="shared" si="8"/>
        <v>78900</v>
      </c>
    </row>
    <row r="89" spans="1:22" ht="21" customHeight="1">
      <c r="A89" s="215" t="s">
        <v>660</v>
      </c>
      <c r="B89" s="202" t="s">
        <v>15</v>
      </c>
      <c r="C89" s="196">
        <v>758</v>
      </c>
      <c r="D89" s="204"/>
      <c r="E89" s="268"/>
      <c r="F89" s="269" t="e">
        <f>F98+#REF!</f>
        <v>#REF!</v>
      </c>
      <c r="G89" s="290" t="e">
        <f>#REF!+G98</f>
        <v>#REF!</v>
      </c>
      <c r="H89" s="281" t="e">
        <f>IF(F89&gt;0,G89/F89*100,"")</f>
        <v>#REF!</v>
      </c>
      <c r="I89" s="291" t="e">
        <f>F89/F207</f>
        <v>#REF!</v>
      </c>
      <c r="J89" s="271"/>
      <c r="K89" s="271">
        <f aca="true" t="shared" si="17" ref="K89:R89">K98</f>
        <v>0</v>
      </c>
      <c r="L89" s="271">
        <f t="shared" si="17"/>
        <v>0</v>
      </c>
      <c r="M89" s="271">
        <f t="shared" si="17"/>
        <v>60000</v>
      </c>
      <c r="N89" s="271">
        <f t="shared" si="17"/>
        <v>0</v>
      </c>
      <c r="O89" s="271">
        <f t="shared" si="17"/>
        <v>0</v>
      </c>
      <c r="P89" s="282">
        <f t="shared" si="17"/>
        <v>20000</v>
      </c>
      <c r="Q89" s="282">
        <f t="shared" si="17"/>
        <v>0</v>
      </c>
      <c r="R89" s="282">
        <f t="shared" si="17"/>
        <v>0</v>
      </c>
      <c r="S89" s="282">
        <f>S90+S92+S95+S98+S100</f>
        <v>16893277</v>
      </c>
      <c r="T89" s="282">
        <f>T90+T92+T95+T98+T100</f>
        <v>41815</v>
      </c>
      <c r="U89" s="406">
        <f>U90+U92+U95+U98+U100</f>
        <v>0</v>
      </c>
      <c r="V89" s="282">
        <f t="shared" si="8"/>
        <v>16935092</v>
      </c>
    </row>
    <row r="90" spans="1:22" s="223" customFormat="1" ht="22.5" customHeight="1">
      <c r="A90" s="371" t="s">
        <v>682</v>
      </c>
      <c r="B90" s="484" t="s">
        <v>742</v>
      </c>
      <c r="C90" s="325"/>
      <c r="D90" s="325">
        <v>75801</v>
      </c>
      <c r="E90" s="322"/>
      <c r="F90" s="313"/>
      <c r="G90" s="314"/>
      <c r="H90" s="315"/>
      <c r="I90" s="316"/>
      <c r="J90" s="317"/>
      <c r="K90" s="317"/>
      <c r="L90" s="317"/>
      <c r="M90" s="317"/>
      <c r="N90" s="317"/>
      <c r="O90" s="317"/>
      <c r="P90" s="319"/>
      <c r="Q90" s="319"/>
      <c r="R90" s="319"/>
      <c r="S90" s="319">
        <f>S91</f>
        <v>13338738</v>
      </c>
      <c r="T90" s="319">
        <f>T91</f>
        <v>0</v>
      </c>
      <c r="U90" s="323">
        <f>U91</f>
        <v>0</v>
      </c>
      <c r="V90" s="319">
        <f t="shared" si="8"/>
        <v>13338738</v>
      </c>
    </row>
    <row r="91" spans="1:22" ht="21.75" customHeight="1">
      <c r="A91" s="104"/>
      <c r="B91" s="107" t="s">
        <v>601</v>
      </c>
      <c r="C91" s="28"/>
      <c r="D91" s="28"/>
      <c r="E91" s="278" t="s">
        <v>133</v>
      </c>
      <c r="F91" s="272"/>
      <c r="G91" s="273"/>
      <c r="H91" s="274"/>
      <c r="I91" s="275"/>
      <c r="J91" s="192"/>
      <c r="K91" s="192"/>
      <c r="L91" s="192"/>
      <c r="M91" s="279"/>
      <c r="N91" s="279"/>
      <c r="O91" s="279"/>
      <c r="P91" s="192"/>
      <c r="Q91" s="192"/>
      <c r="R91" s="192"/>
      <c r="S91" s="192">
        <v>13338738</v>
      </c>
      <c r="T91" s="193">
        <v>0</v>
      </c>
      <c r="U91" s="193"/>
      <c r="V91" s="279">
        <f t="shared" si="8"/>
        <v>13338738</v>
      </c>
    </row>
    <row r="92" spans="1:22" ht="24" customHeight="1">
      <c r="A92" s="372" t="s">
        <v>686</v>
      </c>
      <c r="B92" s="484" t="s">
        <v>326</v>
      </c>
      <c r="C92" s="321"/>
      <c r="D92" s="321">
        <v>75802</v>
      </c>
      <c r="E92" s="312"/>
      <c r="F92" s="313"/>
      <c r="G92" s="314"/>
      <c r="H92" s="315"/>
      <c r="I92" s="316"/>
      <c r="J92" s="317"/>
      <c r="K92" s="317"/>
      <c r="L92" s="317"/>
      <c r="M92" s="319"/>
      <c r="N92" s="319"/>
      <c r="O92" s="319"/>
      <c r="P92" s="317"/>
      <c r="Q92" s="317"/>
      <c r="R92" s="317"/>
      <c r="S92" s="317">
        <f>S93+S94</f>
        <v>457769</v>
      </c>
      <c r="T92" s="317">
        <f>T93+T94</f>
        <v>38815</v>
      </c>
      <c r="U92" s="317">
        <f>U93+U94</f>
        <v>0</v>
      </c>
      <c r="V92" s="319">
        <f t="shared" si="8"/>
        <v>496584</v>
      </c>
    </row>
    <row r="93" spans="1:22" ht="24" customHeight="1">
      <c r="A93" s="489"/>
      <c r="B93" s="256" t="s">
        <v>774</v>
      </c>
      <c r="C93" s="368"/>
      <c r="D93" s="368"/>
      <c r="E93" s="309" t="s">
        <v>773</v>
      </c>
      <c r="F93" s="305"/>
      <c r="G93" s="306"/>
      <c r="H93" s="307"/>
      <c r="I93" s="308"/>
      <c r="J93" s="298"/>
      <c r="K93" s="298"/>
      <c r="L93" s="298"/>
      <c r="M93" s="407"/>
      <c r="N93" s="407"/>
      <c r="O93" s="407"/>
      <c r="P93" s="298"/>
      <c r="Q93" s="298"/>
      <c r="R93" s="298"/>
      <c r="S93" s="298">
        <v>257769</v>
      </c>
      <c r="T93" s="299">
        <v>38815</v>
      </c>
      <c r="U93" s="299"/>
      <c r="V93" s="407">
        <f t="shared" si="8"/>
        <v>296584</v>
      </c>
    </row>
    <row r="94" spans="1:22" ht="25.5" customHeight="1">
      <c r="A94" s="104"/>
      <c r="B94" s="107" t="s">
        <v>328</v>
      </c>
      <c r="C94" s="28"/>
      <c r="D94" s="28"/>
      <c r="E94" s="278" t="s">
        <v>327</v>
      </c>
      <c r="F94" s="272"/>
      <c r="G94" s="273"/>
      <c r="H94" s="274"/>
      <c r="I94" s="275"/>
      <c r="J94" s="192"/>
      <c r="K94" s="192"/>
      <c r="L94" s="192"/>
      <c r="M94" s="279"/>
      <c r="N94" s="279"/>
      <c r="O94" s="279"/>
      <c r="P94" s="192"/>
      <c r="Q94" s="192"/>
      <c r="R94" s="192"/>
      <c r="S94" s="192">
        <v>200000</v>
      </c>
      <c r="T94" s="193">
        <v>0</v>
      </c>
      <c r="U94" s="193"/>
      <c r="V94" s="279">
        <f t="shared" si="8"/>
        <v>200000</v>
      </c>
    </row>
    <row r="95" spans="1:22" s="223" customFormat="1" ht="26.25" customHeight="1">
      <c r="A95" s="371" t="s">
        <v>18</v>
      </c>
      <c r="B95" s="318" t="s">
        <v>85</v>
      </c>
      <c r="C95" s="325"/>
      <c r="D95" s="325">
        <v>75803</v>
      </c>
      <c r="E95" s="312"/>
      <c r="F95" s="313">
        <v>857613</v>
      </c>
      <c r="G95" s="314">
        <v>912417</v>
      </c>
      <c r="H95" s="315">
        <f>IF(F95&gt;0,G95/F95*100,"")</f>
        <v>106.39029492323459</v>
      </c>
      <c r="I95" s="316" t="e">
        <f>F95/F207</f>
        <v>#REF!</v>
      </c>
      <c r="J95" s="317"/>
      <c r="K95" s="317">
        <v>0</v>
      </c>
      <c r="L95" s="317">
        <v>0</v>
      </c>
      <c r="M95" s="319">
        <v>531382</v>
      </c>
      <c r="N95" s="319">
        <v>0</v>
      </c>
      <c r="O95" s="319">
        <v>0</v>
      </c>
      <c r="P95" s="317">
        <v>543491</v>
      </c>
      <c r="Q95" s="317">
        <v>0</v>
      </c>
      <c r="R95" s="317">
        <v>0</v>
      </c>
      <c r="S95" s="317">
        <f>S96+S97</f>
        <v>1619480</v>
      </c>
      <c r="T95" s="317">
        <f>T96+T97</f>
        <v>0</v>
      </c>
      <c r="U95" s="405">
        <f>U96+U97</f>
        <v>0</v>
      </c>
      <c r="V95" s="319">
        <f t="shared" si="8"/>
        <v>1619480</v>
      </c>
    </row>
    <row r="96" spans="1:22" ht="19.5" customHeight="1">
      <c r="A96" s="62"/>
      <c r="B96" s="107" t="s">
        <v>602</v>
      </c>
      <c r="C96" s="28"/>
      <c r="D96" s="28"/>
      <c r="E96" s="278" t="s">
        <v>133</v>
      </c>
      <c r="F96" s="272"/>
      <c r="G96" s="273"/>
      <c r="H96" s="274"/>
      <c r="I96" s="275"/>
      <c r="J96" s="192"/>
      <c r="K96" s="192"/>
      <c r="L96" s="192"/>
      <c r="M96" s="279"/>
      <c r="N96" s="279"/>
      <c r="O96" s="279"/>
      <c r="P96" s="192"/>
      <c r="Q96" s="192"/>
      <c r="R96" s="192"/>
      <c r="S96" s="192">
        <v>1314250</v>
      </c>
      <c r="T96" s="193"/>
      <c r="U96" s="193"/>
      <c r="V96" s="279">
        <f t="shared" si="8"/>
        <v>1314250</v>
      </c>
    </row>
    <row r="97" spans="1:23" ht="21.75" customHeight="1">
      <c r="A97" s="62"/>
      <c r="B97" s="107" t="s">
        <v>537</v>
      </c>
      <c r="C97" s="28"/>
      <c r="D97" s="28"/>
      <c r="E97" s="278" t="s">
        <v>133</v>
      </c>
      <c r="F97" s="272"/>
      <c r="G97" s="273"/>
      <c r="H97" s="274"/>
      <c r="I97" s="275"/>
      <c r="J97" s="192"/>
      <c r="K97" s="192"/>
      <c r="L97" s="192"/>
      <c r="M97" s="279"/>
      <c r="N97" s="279"/>
      <c r="O97" s="279"/>
      <c r="P97" s="192"/>
      <c r="Q97" s="192"/>
      <c r="R97" s="192"/>
      <c r="S97" s="192">
        <v>305230</v>
      </c>
      <c r="T97" s="193"/>
      <c r="U97" s="193"/>
      <c r="V97" s="279">
        <f t="shared" si="8"/>
        <v>305230</v>
      </c>
      <c r="W97" s="154"/>
    </row>
    <row r="98" spans="1:22" s="73" customFormat="1" ht="20.25" customHeight="1">
      <c r="A98" s="371" t="s">
        <v>20</v>
      </c>
      <c r="B98" s="484" t="s">
        <v>16</v>
      </c>
      <c r="C98" s="325"/>
      <c r="D98" s="325">
        <v>75814</v>
      </c>
      <c r="E98" s="312"/>
      <c r="F98" s="313">
        <f>F99</f>
        <v>90000</v>
      </c>
      <c r="G98" s="314">
        <f>G99</f>
        <v>100000</v>
      </c>
      <c r="H98" s="315">
        <f>IF(F98&gt;0,G98/F98*100,"")</f>
        <v>111.11111111111111</v>
      </c>
      <c r="I98" s="316" t="e">
        <f>F98/F207</f>
        <v>#REF!</v>
      </c>
      <c r="J98" s="317"/>
      <c r="K98" s="317">
        <f aca="true" t="shared" si="18" ref="K98:U98">K99</f>
        <v>0</v>
      </c>
      <c r="L98" s="317">
        <f t="shared" si="18"/>
        <v>0</v>
      </c>
      <c r="M98" s="317">
        <f t="shared" si="18"/>
        <v>60000</v>
      </c>
      <c r="N98" s="317">
        <f t="shared" si="18"/>
        <v>0</v>
      </c>
      <c r="O98" s="317">
        <f t="shared" si="18"/>
        <v>0</v>
      </c>
      <c r="P98" s="319">
        <f t="shared" si="18"/>
        <v>20000</v>
      </c>
      <c r="Q98" s="319">
        <f t="shared" si="18"/>
        <v>0</v>
      </c>
      <c r="R98" s="319">
        <f t="shared" si="18"/>
        <v>0</v>
      </c>
      <c r="S98" s="319">
        <f t="shared" si="18"/>
        <v>25000</v>
      </c>
      <c r="T98" s="319">
        <f t="shared" si="18"/>
        <v>3000</v>
      </c>
      <c r="U98" s="323">
        <f t="shared" si="18"/>
        <v>0</v>
      </c>
      <c r="V98" s="319">
        <f t="shared" si="8"/>
        <v>28000</v>
      </c>
    </row>
    <row r="99" spans="1:22" ht="18.75" customHeight="1">
      <c r="A99" s="104"/>
      <c r="B99" s="107" t="s">
        <v>684</v>
      </c>
      <c r="C99" s="28"/>
      <c r="D99" s="28"/>
      <c r="E99" s="278" t="s">
        <v>124</v>
      </c>
      <c r="F99" s="272">
        <v>90000</v>
      </c>
      <c r="G99" s="273">
        <v>100000</v>
      </c>
      <c r="H99" s="274">
        <f>IF(F99&gt;0,G99/F99*100,"")</f>
        <v>111.11111111111111</v>
      </c>
      <c r="I99" s="275" t="e">
        <f>F99/F207</f>
        <v>#REF!</v>
      </c>
      <c r="J99" s="192"/>
      <c r="K99" s="192">
        <v>0</v>
      </c>
      <c r="L99" s="192">
        <v>0</v>
      </c>
      <c r="M99" s="192">
        <v>60000</v>
      </c>
      <c r="N99" s="192">
        <v>0</v>
      </c>
      <c r="O99" s="192">
        <v>0</v>
      </c>
      <c r="P99" s="192">
        <v>20000</v>
      </c>
      <c r="Q99" s="192">
        <v>0</v>
      </c>
      <c r="R99" s="192">
        <v>0</v>
      </c>
      <c r="S99" s="192">
        <v>25000</v>
      </c>
      <c r="T99" s="193">
        <v>3000</v>
      </c>
      <c r="U99" s="193">
        <v>0</v>
      </c>
      <c r="V99" s="279">
        <f t="shared" si="8"/>
        <v>28000</v>
      </c>
    </row>
    <row r="100" spans="1:23" s="159" customFormat="1" ht="25.5" customHeight="1">
      <c r="A100" s="371" t="s">
        <v>325</v>
      </c>
      <c r="B100" s="484" t="s">
        <v>214</v>
      </c>
      <c r="C100" s="325"/>
      <c r="D100" s="325">
        <v>75832</v>
      </c>
      <c r="E100" s="312"/>
      <c r="F100" s="313"/>
      <c r="G100" s="314"/>
      <c r="H100" s="315"/>
      <c r="I100" s="316"/>
      <c r="J100" s="317"/>
      <c r="K100" s="317"/>
      <c r="L100" s="317"/>
      <c r="M100" s="319"/>
      <c r="N100" s="319"/>
      <c r="O100" s="319"/>
      <c r="P100" s="317"/>
      <c r="Q100" s="317"/>
      <c r="R100" s="317"/>
      <c r="S100" s="317">
        <f>S101</f>
        <v>1452290</v>
      </c>
      <c r="T100" s="317">
        <f>T101</f>
        <v>0</v>
      </c>
      <c r="U100" s="405">
        <f>U101</f>
        <v>0</v>
      </c>
      <c r="V100" s="319">
        <f t="shared" si="8"/>
        <v>1452290</v>
      </c>
      <c r="W100" s="224"/>
    </row>
    <row r="101" spans="1:22" s="31" customFormat="1" ht="20.25" customHeight="1">
      <c r="A101" s="217"/>
      <c r="B101" s="107" t="s">
        <v>603</v>
      </c>
      <c r="C101" s="44"/>
      <c r="D101" s="44"/>
      <c r="E101" s="278" t="s">
        <v>133</v>
      </c>
      <c r="F101" s="292"/>
      <c r="G101" s="293"/>
      <c r="H101" s="294"/>
      <c r="I101" s="295"/>
      <c r="J101" s="194"/>
      <c r="K101" s="194"/>
      <c r="L101" s="194"/>
      <c r="M101" s="296"/>
      <c r="N101" s="296"/>
      <c r="O101" s="296"/>
      <c r="P101" s="194"/>
      <c r="Q101" s="194"/>
      <c r="R101" s="194"/>
      <c r="S101" s="192">
        <v>1452290</v>
      </c>
      <c r="T101" s="193"/>
      <c r="U101" s="193">
        <v>0</v>
      </c>
      <c r="V101" s="279">
        <f t="shared" si="8"/>
        <v>1452290</v>
      </c>
    </row>
    <row r="102" spans="1:22" ht="20.25" customHeight="1">
      <c r="A102" s="215" t="s">
        <v>176</v>
      </c>
      <c r="B102" s="202" t="s">
        <v>17</v>
      </c>
      <c r="C102" s="201" t="s">
        <v>379</v>
      </c>
      <c r="D102" s="203"/>
      <c r="E102" s="300"/>
      <c r="F102" s="269" t="e">
        <f>F103+#REF!</f>
        <v>#REF!</v>
      </c>
      <c r="G102" s="290" t="e">
        <f>G103+#REF!+G108+#REF!</f>
        <v>#REF!</v>
      </c>
      <c r="H102" s="281" t="e">
        <f>IF(F102&gt;0,G102/F102*100,"")</f>
        <v>#REF!</v>
      </c>
      <c r="I102" s="291" t="e">
        <f>F102/F207</f>
        <v>#REF!</v>
      </c>
      <c r="J102" s="271"/>
      <c r="K102" s="271" t="e">
        <f>K103+#REF!+K108+#REF!</f>
        <v>#REF!</v>
      </c>
      <c r="L102" s="271" t="e">
        <f>L103+#REF!+L108+#REF!</f>
        <v>#REF!</v>
      </c>
      <c r="M102" s="271" t="e">
        <f>M103+M108+#REF!+#REF!</f>
        <v>#REF!</v>
      </c>
      <c r="N102" s="271" t="e">
        <f>N103+N108+#REF!</f>
        <v>#REF!</v>
      </c>
      <c r="O102" s="271" t="e">
        <f>O103+O108+#REF!</f>
        <v>#REF!</v>
      </c>
      <c r="P102" s="282" t="e">
        <f>P103+P108+#REF!+#REF!</f>
        <v>#REF!</v>
      </c>
      <c r="Q102" s="282" t="e">
        <f>Q103+Q108+#REF!+#REF!</f>
        <v>#REF!</v>
      </c>
      <c r="R102" s="282" t="e">
        <f>R103+R108+#REF!+#REF!</f>
        <v>#REF!</v>
      </c>
      <c r="S102" s="282">
        <f>S103+S108+S115+S117</f>
        <v>448782</v>
      </c>
      <c r="T102" s="282">
        <f>T103+T108+T115+T117</f>
        <v>8121</v>
      </c>
      <c r="U102" s="282">
        <f>U103+U108+U115+U117</f>
        <v>4220</v>
      </c>
      <c r="V102" s="282">
        <f t="shared" si="8"/>
        <v>452683</v>
      </c>
    </row>
    <row r="103" spans="1:22" s="73" customFormat="1" ht="16.5" customHeight="1">
      <c r="A103" s="371" t="s">
        <v>682</v>
      </c>
      <c r="B103" s="310" t="s">
        <v>398</v>
      </c>
      <c r="C103" s="311"/>
      <c r="D103" s="311" t="s">
        <v>397</v>
      </c>
      <c r="E103" s="312"/>
      <c r="F103" s="313" t="e">
        <f>F104+F105+#REF!+#REF!</f>
        <v>#REF!</v>
      </c>
      <c r="G103" s="314" t="e">
        <f>G104+G105+#REF!+#REF!</f>
        <v>#REF!</v>
      </c>
      <c r="H103" s="315" t="e">
        <f>IF(F103&gt;0,G103/F103*100,"")</f>
        <v>#REF!</v>
      </c>
      <c r="I103" s="316" t="e">
        <f>F103/F207</f>
        <v>#REF!</v>
      </c>
      <c r="J103" s="317"/>
      <c r="K103" s="317" t="e">
        <f>K104+K105+#REF!+#REF!</f>
        <v>#REF!</v>
      </c>
      <c r="L103" s="317" t="e">
        <f>L104+L105+#REF!+#REF!</f>
        <v>#REF!</v>
      </c>
      <c r="M103" s="317" t="e">
        <f>M104+M105+#REF!+#REF!+#REF!</f>
        <v>#REF!</v>
      </c>
      <c r="N103" s="317" t="e">
        <f>N104+N105+#REF!+#REF!+#REF!</f>
        <v>#REF!</v>
      </c>
      <c r="O103" s="317" t="e">
        <f>O104+O105+#REF!+#REF!+#REF!</f>
        <v>#REF!</v>
      </c>
      <c r="P103" s="317" t="e">
        <f>P104+P105+#REF!+#REF!</f>
        <v>#REF!</v>
      </c>
      <c r="Q103" s="317" t="e">
        <f>Q104+Q105+#REF!+#REF!</f>
        <v>#REF!</v>
      </c>
      <c r="R103" s="317" t="e">
        <f>R104+R105+#REF!+#REF!</f>
        <v>#REF!</v>
      </c>
      <c r="S103" s="317">
        <f>S104+S105+S106+S107</f>
        <v>17790</v>
      </c>
      <c r="T103" s="317">
        <f>T104+T105+T106+T107</f>
        <v>2130</v>
      </c>
      <c r="U103" s="405">
        <f>U104+U105+U106+U107</f>
        <v>0</v>
      </c>
      <c r="V103" s="319">
        <f>S103+T103-U103</f>
        <v>19920</v>
      </c>
    </row>
    <row r="104" spans="1:22" ht="18" customHeight="1">
      <c r="A104" s="104"/>
      <c r="B104" s="108" t="s">
        <v>688</v>
      </c>
      <c r="C104" s="13"/>
      <c r="D104" s="13"/>
      <c r="E104" s="278" t="s">
        <v>125</v>
      </c>
      <c r="F104" s="272">
        <v>490</v>
      </c>
      <c r="G104" s="273">
        <v>500</v>
      </c>
      <c r="H104" s="274">
        <f>IF(F104&gt;0,G104/F104*100,"")</f>
        <v>102.04081632653062</v>
      </c>
      <c r="I104" s="275" t="e">
        <f>F104/F207</f>
        <v>#REF!</v>
      </c>
      <c r="J104" s="192"/>
      <c r="K104" s="192">
        <v>0</v>
      </c>
      <c r="L104" s="192">
        <v>0</v>
      </c>
      <c r="M104" s="192">
        <v>450</v>
      </c>
      <c r="N104" s="192">
        <v>0</v>
      </c>
      <c r="O104" s="192">
        <v>0</v>
      </c>
      <c r="P104" s="192">
        <v>600</v>
      </c>
      <c r="Q104" s="192">
        <v>0</v>
      </c>
      <c r="R104" s="192">
        <v>0</v>
      </c>
      <c r="S104" s="192">
        <v>220</v>
      </c>
      <c r="T104" s="193">
        <v>20</v>
      </c>
      <c r="U104" s="193"/>
      <c r="V104" s="279">
        <f t="shared" si="8"/>
        <v>240</v>
      </c>
    </row>
    <row r="105" spans="1:22" ht="21.75" customHeight="1">
      <c r="A105" s="104"/>
      <c r="B105" s="107" t="s">
        <v>169</v>
      </c>
      <c r="C105" s="13"/>
      <c r="D105" s="13"/>
      <c r="E105" s="278" t="s">
        <v>126</v>
      </c>
      <c r="F105" s="272">
        <v>41300</v>
      </c>
      <c r="G105" s="273">
        <v>53461</v>
      </c>
      <c r="H105" s="274">
        <f>IF(F105&gt;0,G105/F105*100,"")</f>
        <v>129.4455205811138</v>
      </c>
      <c r="I105" s="275" t="e">
        <f>F105/F207</f>
        <v>#REF!</v>
      </c>
      <c r="J105" s="192"/>
      <c r="K105" s="192">
        <v>0</v>
      </c>
      <c r="L105" s="192">
        <v>0</v>
      </c>
      <c r="M105" s="192">
        <v>39124</v>
      </c>
      <c r="N105" s="192">
        <v>0</v>
      </c>
      <c r="O105" s="192">
        <v>0</v>
      </c>
      <c r="P105" s="192">
        <v>29000</v>
      </c>
      <c r="Q105" s="192">
        <v>0</v>
      </c>
      <c r="R105" s="192">
        <v>4000</v>
      </c>
      <c r="S105" s="192">
        <v>17000</v>
      </c>
      <c r="T105" s="193">
        <v>2000</v>
      </c>
      <c r="U105" s="193"/>
      <c r="V105" s="279">
        <f t="shared" si="8"/>
        <v>19000</v>
      </c>
    </row>
    <row r="106" spans="1:22" ht="18.75" customHeight="1">
      <c r="A106" s="104"/>
      <c r="B106" s="107" t="s">
        <v>691</v>
      </c>
      <c r="C106" s="13"/>
      <c r="D106" s="13"/>
      <c r="E106" s="278" t="s">
        <v>127</v>
      </c>
      <c r="F106" s="272"/>
      <c r="G106" s="273"/>
      <c r="H106" s="274"/>
      <c r="I106" s="275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>
        <v>0</v>
      </c>
      <c r="T106" s="193">
        <v>60</v>
      </c>
      <c r="U106" s="193"/>
      <c r="V106" s="279">
        <f t="shared" si="8"/>
        <v>60</v>
      </c>
    </row>
    <row r="107" spans="1:22" ht="18.75" customHeight="1">
      <c r="A107" s="104"/>
      <c r="B107" s="107" t="s">
        <v>684</v>
      </c>
      <c r="C107" s="13"/>
      <c r="D107" s="13"/>
      <c r="E107" s="278" t="s">
        <v>124</v>
      </c>
      <c r="F107" s="272"/>
      <c r="G107" s="273"/>
      <c r="H107" s="274"/>
      <c r="I107" s="275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>
        <v>570</v>
      </c>
      <c r="T107" s="193">
        <v>50</v>
      </c>
      <c r="U107" s="193"/>
      <c r="V107" s="279">
        <f t="shared" si="8"/>
        <v>620</v>
      </c>
    </row>
    <row r="108" spans="1:22" s="73" customFormat="1" ht="18.75" customHeight="1">
      <c r="A108" s="371" t="s">
        <v>686</v>
      </c>
      <c r="B108" s="318" t="s">
        <v>407</v>
      </c>
      <c r="C108" s="311"/>
      <c r="D108" s="311" t="s">
        <v>406</v>
      </c>
      <c r="E108" s="312"/>
      <c r="F108" s="313"/>
      <c r="G108" s="314">
        <f>G109+G110+G111+G112+G113+G114</f>
        <v>302185</v>
      </c>
      <c r="H108" s="315"/>
      <c r="I108" s="316"/>
      <c r="J108" s="317"/>
      <c r="K108" s="317">
        <f aca="true" t="shared" si="19" ref="K108:P108">K109+K110+K111+K112+K113+K114</f>
        <v>0</v>
      </c>
      <c r="L108" s="317">
        <f t="shared" si="19"/>
        <v>0</v>
      </c>
      <c r="M108" s="317">
        <f t="shared" si="19"/>
        <v>159655</v>
      </c>
      <c r="N108" s="317">
        <f t="shared" si="19"/>
        <v>0</v>
      </c>
      <c r="O108" s="317">
        <f t="shared" si="19"/>
        <v>0</v>
      </c>
      <c r="P108" s="319">
        <f t="shared" si="19"/>
        <v>252149</v>
      </c>
      <c r="Q108" s="319">
        <f>Q109+Q110+Q111+Q112+Q113+Q114</f>
        <v>0</v>
      </c>
      <c r="R108" s="319">
        <f>R109+R110+R111+R112+R113+R114</f>
        <v>0</v>
      </c>
      <c r="S108" s="319">
        <f>S109+S110+S111+S112+S113+S114</f>
        <v>140392</v>
      </c>
      <c r="T108" s="319">
        <f>T109+T110+T111+T112+T113+T114</f>
        <v>5991</v>
      </c>
      <c r="U108" s="323">
        <f>U109+U110+U111+U112+U113+U114</f>
        <v>4220</v>
      </c>
      <c r="V108" s="319">
        <f t="shared" si="8"/>
        <v>142163</v>
      </c>
    </row>
    <row r="109" spans="1:22" ht="20.25" customHeight="1">
      <c r="A109" s="104"/>
      <c r="B109" s="108" t="s">
        <v>688</v>
      </c>
      <c r="C109" s="13"/>
      <c r="D109" s="13"/>
      <c r="E109" s="278" t="s">
        <v>125</v>
      </c>
      <c r="F109" s="272"/>
      <c r="G109" s="273">
        <v>330</v>
      </c>
      <c r="H109" s="274"/>
      <c r="I109" s="275"/>
      <c r="J109" s="192"/>
      <c r="K109" s="192">
        <v>0</v>
      </c>
      <c r="L109" s="192"/>
      <c r="M109" s="192">
        <v>0</v>
      </c>
      <c r="N109" s="192">
        <v>0</v>
      </c>
      <c r="O109" s="192">
        <v>0</v>
      </c>
      <c r="P109" s="192">
        <v>300</v>
      </c>
      <c r="Q109" s="192">
        <v>0</v>
      </c>
      <c r="R109" s="192">
        <v>0</v>
      </c>
      <c r="S109" s="192">
        <v>0</v>
      </c>
      <c r="T109" s="193"/>
      <c r="U109" s="193"/>
      <c r="V109" s="279">
        <f t="shared" si="8"/>
        <v>0</v>
      </c>
    </row>
    <row r="110" spans="1:22" ht="23.25" customHeight="1">
      <c r="A110" s="104"/>
      <c r="B110" s="107" t="s">
        <v>169</v>
      </c>
      <c r="C110" s="13"/>
      <c r="D110" s="13"/>
      <c r="E110" s="278" t="s">
        <v>126</v>
      </c>
      <c r="F110" s="272"/>
      <c r="G110" s="273">
        <v>195458</v>
      </c>
      <c r="H110" s="274"/>
      <c r="I110" s="275"/>
      <c r="J110" s="192"/>
      <c r="K110" s="192">
        <v>0</v>
      </c>
      <c r="L110" s="192">
        <v>0</v>
      </c>
      <c r="M110" s="192">
        <v>84152</v>
      </c>
      <c r="N110" s="192">
        <v>0</v>
      </c>
      <c r="O110" s="192">
        <v>0</v>
      </c>
      <c r="P110" s="192">
        <v>180558</v>
      </c>
      <c r="Q110" s="192">
        <v>0</v>
      </c>
      <c r="R110" s="192">
        <v>0</v>
      </c>
      <c r="S110" s="192">
        <v>69800</v>
      </c>
      <c r="T110" s="193"/>
      <c r="U110" s="193">
        <v>4100</v>
      </c>
      <c r="V110" s="279">
        <f t="shared" si="8"/>
        <v>65700</v>
      </c>
    </row>
    <row r="111" spans="1:22" ht="19.5" customHeight="1">
      <c r="A111" s="104"/>
      <c r="B111" s="107" t="s">
        <v>691</v>
      </c>
      <c r="C111" s="13"/>
      <c r="D111" s="13"/>
      <c r="E111" s="278" t="s">
        <v>127</v>
      </c>
      <c r="F111" s="272"/>
      <c r="G111" s="273">
        <v>92116</v>
      </c>
      <c r="H111" s="274"/>
      <c r="I111" s="275"/>
      <c r="J111" s="192"/>
      <c r="K111" s="192">
        <v>0</v>
      </c>
      <c r="L111" s="192">
        <v>0</v>
      </c>
      <c r="M111" s="192">
        <v>69767</v>
      </c>
      <c r="N111" s="192">
        <v>0</v>
      </c>
      <c r="O111" s="192">
        <v>0</v>
      </c>
      <c r="P111" s="192">
        <v>68098</v>
      </c>
      <c r="Q111" s="192">
        <v>0</v>
      </c>
      <c r="R111" s="192">
        <v>0</v>
      </c>
      <c r="S111" s="192">
        <v>56187</v>
      </c>
      <c r="T111" s="193">
        <v>811</v>
      </c>
      <c r="U111" s="193">
        <v>0</v>
      </c>
      <c r="V111" s="279">
        <f t="shared" si="8"/>
        <v>56998</v>
      </c>
    </row>
    <row r="112" spans="1:22" ht="18.75" customHeight="1">
      <c r="A112" s="104"/>
      <c r="B112" s="107" t="s">
        <v>479</v>
      </c>
      <c r="C112" s="13"/>
      <c r="D112" s="13"/>
      <c r="E112" s="278" t="s">
        <v>478</v>
      </c>
      <c r="F112" s="272"/>
      <c r="G112" s="273">
        <v>200</v>
      </c>
      <c r="H112" s="274"/>
      <c r="I112" s="275"/>
      <c r="J112" s="192"/>
      <c r="K112" s="192">
        <v>0</v>
      </c>
      <c r="L112" s="192">
        <v>0</v>
      </c>
      <c r="M112" s="192">
        <v>200</v>
      </c>
      <c r="N112" s="192">
        <v>0</v>
      </c>
      <c r="O112" s="192">
        <v>0</v>
      </c>
      <c r="P112" s="192">
        <v>230</v>
      </c>
      <c r="Q112" s="192">
        <v>0</v>
      </c>
      <c r="R112" s="192">
        <v>0</v>
      </c>
      <c r="S112" s="192">
        <v>3137</v>
      </c>
      <c r="T112" s="193">
        <v>246</v>
      </c>
      <c r="U112" s="193"/>
      <c r="V112" s="279">
        <f t="shared" si="8"/>
        <v>3383</v>
      </c>
    </row>
    <row r="113" spans="1:22" ht="19.5" customHeight="1">
      <c r="A113" s="104"/>
      <c r="B113" s="107" t="s">
        <v>684</v>
      </c>
      <c r="C113" s="13"/>
      <c r="D113" s="13"/>
      <c r="E113" s="278" t="s">
        <v>124</v>
      </c>
      <c r="F113" s="272"/>
      <c r="G113" s="273">
        <v>13881</v>
      </c>
      <c r="H113" s="274"/>
      <c r="I113" s="275"/>
      <c r="J113" s="192"/>
      <c r="K113" s="192">
        <v>0</v>
      </c>
      <c r="L113" s="192">
        <v>0</v>
      </c>
      <c r="M113" s="192">
        <v>4650</v>
      </c>
      <c r="N113" s="192">
        <v>0</v>
      </c>
      <c r="O113" s="192">
        <v>0</v>
      </c>
      <c r="P113" s="192">
        <v>1270</v>
      </c>
      <c r="Q113" s="192">
        <v>0</v>
      </c>
      <c r="R113" s="192">
        <v>0</v>
      </c>
      <c r="S113" s="192">
        <v>720</v>
      </c>
      <c r="T113" s="193">
        <v>20</v>
      </c>
      <c r="U113" s="193">
        <v>120</v>
      </c>
      <c r="V113" s="279">
        <f t="shared" si="8"/>
        <v>620</v>
      </c>
    </row>
    <row r="114" spans="1:22" ht="22.5" customHeight="1">
      <c r="A114" s="104"/>
      <c r="B114" s="107" t="s">
        <v>708</v>
      </c>
      <c r="C114" s="13"/>
      <c r="D114" s="13"/>
      <c r="E114" s="278" t="s">
        <v>128</v>
      </c>
      <c r="F114" s="272"/>
      <c r="G114" s="273">
        <v>200</v>
      </c>
      <c r="H114" s="274"/>
      <c r="I114" s="275"/>
      <c r="J114" s="192"/>
      <c r="K114" s="192">
        <v>0</v>
      </c>
      <c r="L114" s="192">
        <v>0</v>
      </c>
      <c r="M114" s="192">
        <v>886</v>
      </c>
      <c r="N114" s="192">
        <v>0</v>
      </c>
      <c r="O114" s="192">
        <v>0</v>
      </c>
      <c r="P114" s="192">
        <v>1693</v>
      </c>
      <c r="Q114" s="192">
        <v>0</v>
      </c>
      <c r="R114" s="192">
        <v>0</v>
      </c>
      <c r="S114" s="192">
        <v>10548</v>
      </c>
      <c r="T114" s="193">
        <v>4914</v>
      </c>
      <c r="U114" s="193"/>
      <c r="V114" s="279">
        <f t="shared" si="8"/>
        <v>15462</v>
      </c>
    </row>
    <row r="115" spans="1:22" ht="24" customHeight="1">
      <c r="A115" s="372" t="s">
        <v>18</v>
      </c>
      <c r="B115" s="318" t="s">
        <v>178</v>
      </c>
      <c r="C115" s="320"/>
      <c r="D115" s="320" t="s">
        <v>179</v>
      </c>
      <c r="E115" s="312"/>
      <c r="F115" s="313"/>
      <c r="G115" s="314"/>
      <c r="H115" s="315"/>
      <c r="I115" s="316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>
        <f>S116</f>
        <v>290000</v>
      </c>
      <c r="T115" s="317">
        <f>T116</f>
        <v>0</v>
      </c>
      <c r="U115" s="405">
        <f>U116</f>
        <v>0</v>
      </c>
      <c r="V115" s="319">
        <f t="shared" si="8"/>
        <v>290000</v>
      </c>
    </row>
    <row r="116" spans="1:22" ht="33" customHeight="1">
      <c r="A116" s="104"/>
      <c r="B116" s="107" t="s">
        <v>775</v>
      </c>
      <c r="C116" s="13"/>
      <c r="D116" s="13"/>
      <c r="E116" s="278" t="s">
        <v>177</v>
      </c>
      <c r="F116" s="272"/>
      <c r="G116" s="273"/>
      <c r="H116" s="274"/>
      <c r="I116" s="275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>
        <v>290000</v>
      </c>
      <c r="T116" s="193">
        <v>0</v>
      </c>
      <c r="U116" s="193"/>
      <c r="V116" s="279">
        <f t="shared" si="8"/>
        <v>290000</v>
      </c>
    </row>
    <row r="117" spans="1:22" ht="25.5" customHeight="1">
      <c r="A117" s="372" t="s">
        <v>20</v>
      </c>
      <c r="B117" s="484" t="s">
        <v>309</v>
      </c>
      <c r="C117" s="320"/>
      <c r="D117" s="320" t="s">
        <v>423</v>
      </c>
      <c r="E117" s="312"/>
      <c r="F117" s="313"/>
      <c r="G117" s="314"/>
      <c r="H117" s="315"/>
      <c r="I117" s="316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>
        <f>S118</f>
        <v>600</v>
      </c>
      <c r="T117" s="317">
        <f>T118</f>
        <v>0</v>
      </c>
      <c r="U117" s="317">
        <f>U118</f>
        <v>0</v>
      </c>
      <c r="V117" s="319">
        <f t="shared" si="8"/>
        <v>600</v>
      </c>
    </row>
    <row r="118" spans="1:22" ht="27" customHeight="1">
      <c r="A118" s="104"/>
      <c r="B118" s="107" t="s">
        <v>226</v>
      </c>
      <c r="C118" s="13"/>
      <c r="D118" s="13"/>
      <c r="E118" s="278" t="s">
        <v>318</v>
      </c>
      <c r="F118" s="272"/>
      <c r="G118" s="273"/>
      <c r="H118" s="274"/>
      <c r="I118" s="275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>
        <v>600</v>
      </c>
      <c r="T118" s="193">
        <v>0</v>
      </c>
      <c r="U118" s="193">
        <v>0</v>
      </c>
      <c r="V118" s="279">
        <f>S118+T118-U118</f>
        <v>600</v>
      </c>
    </row>
    <row r="119" spans="1:22" ht="26.25" customHeight="1">
      <c r="A119" s="215" t="s">
        <v>662</v>
      </c>
      <c r="B119" s="200" t="s">
        <v>598</v>
      </c>
      <c r="C119" s="196">
        <v>803</v>
      </c>
      <c r="D119" s="207"/>
      <c r="E119" s="302"/>
      <c r="F119" s="289"/>
      <c r="G119" s="290"/>
      <c r="H119" s="281"/>
      <c r="I119" s="291"/>
      <c r="J119" s="271"/>
      <c r="K119" s="271"/>
      <c r="L119" s="271"/>
      <c r="M119" s="271"/>
      <c r="N119" s="271"/>
      <c r="O119" s="271"/>
      <c r="P119" s="271" t="e">
        <f>#REF!</f>
        <v>#REF!</v>
      </c>
      <c r="Q119" s="271" t="e">
        <f>#REF!</f>
        <v>#REF!</v>
      </c>
      <c r="R119" s="271" t="e">
        <f>#REF!</f>
        <v>#REF!</v>
      </c>
      <c r="S119" s="271">
        <f>S120</f>
        <v>248658</v>
      </c>
      <c r="T119" s="271">
        <f>T120</f>
        <v>0</v>
      </c>
      <c r="U119" s="409">
        <f>U120</f>
        <v>890</v>
      </c>
      <c r="V119" s="408">
        <f aca="true" t="shared" si="20" ref="V119:V172">S119+T119-U119</f>
        <v>247768</v>
      </c>
    </row>
    <row r="120" spans="1:22" s="223" customFormat="1" ht="24" customHeight="1">
      <c r="A120" s="371" t="s">
        <v>682</v>
      </c>
      <c r="B120" s="486" t="s">
        <v>488</v>
      </c>
      <c r="C120" s="325"/>
      <c r="D120" s="325">
        <v>80309</v>
      </c>
      <c r="E120" s="322"/>
      <c r="F120" s="313"/>
      <c r="G120" s="314"/>
      <c r="H120" s="315"/>
      <c r="I120" s="316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>
        <f>S121+S122+S123</f>
        <v>248658</v>
      </c>
      <c r="T120" s="317">
        <f>T121+T122+T123</f>
        <v>0</v>
      </c>
      <c r="U120" s="405">
        <f>U121+U122+U123</f>
        <v>890</v>
      </c>
      <c r="V120" s="319">
        <f t="shared" si="20"/>
        <v>247768</v>
      </c>
    </row>
    <row r="121" spans="1:22" s="223" customFormat="1" ht="25.5" customHeight="1">
      <c r="A121" s="221"/>
      <c r="B121" s="256" t="s">
        <v>684</v>
      </c>
      <c r="C121" s="222"/>
      <c r="D121" s="222"/>
      <c r="E121" s="309" t="s">
        <v>124</v>
      </c>
      <c r="F121" s="305"/>
      <c r="G121" s="306"/>
      <c r="H121" s="307"/>
      <c r="I121" s="30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>
        <v>40</v>
      </c>
      <c r="T121" s="299">
        <v>0</v>
      </c>
      <c r="U121" s="299">
        <v>15</v>
      </c>
      <c r="V121" s="279">
        <f t="shared" si="20"/>
        <v>25</v>
      </c>
    </row>
    <row r="122" spans="1:22" ht="47.25" customHeight="1">
      <c r="A122" s="216"/>
      <c r="B122" s="107" t="s">
        <v>69</v>
      </c>
      <c r="C122" s="17"/>
      <c r="D122" s="17"/>
      <c r="E122" s="276">
        <v>2888</v>
      </c>
      <c r="F122" s="272"/>
      <c r="G122" s="273"/>
      <c r="H122" s="274"/>
      <c r="I122" s="275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>
        <v>177666</v>
      </c>
      <c r="T122" s="193"/>
      <c r="U122" s="193">
        <v>610</v>
      </c>
      <c r="V122" s="279">
        <f t="shared" si="20"/>
        <v>177056</v>
      </c>
    </row>
    <row r="123" spans="1:22" ht="44.25" customHeight="1">
      <c r="A123" s="216"/>
      <c r="B123" s="107" t="s">
        <v>69</v>
      </c>
      <c r="C123" s="17"/>
      <c r="D123" s="17"/>
      <c r="E123" s="276">
        <v>2889</v>
      </c>
      <c r="F123" s="272"/>
      <c r="G123" s="273"/>
      <c r="H123" s="274"/>
      <c r="I123" s="275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>
        <v>70952</v>
      </c>
      <c r="T123" s="193"/>
      <c r="U123" s="193">
        <v>265</v>
      </c>
      <c r="V123" s="279">
        <f t="shared" si="20"/>
        <v>70687</v>
      </c>
    </row>
    <row r="124" spans="1:22" ht="22.5" customHeight="1">
      <c r="A124" s="215" t="s">
        <v>100</v>
      </c>
      <c r="B124" s="200" t="s">
        <v>19</v>
      </c>
      <c r="C124" s="201" t="s">
        <v>424</v>
      </c>
      <c r="D124" s="201"/>
      <c r="E124" s="280"/>
      <c r="F124" s="289"/>
      <c r="G124" s="290"/>
      <c r="H124" s="281"/>
      <c r="I124" s="291"/>
      <c r="J124" s="271"/>
      <c r="K124" s="271"/>
      <c r="L124" s="271"/>
      <c r="M124" s="271"/>
      <c r="N124" s="271"/>
      <c r="O124" s="271"/>
      <c r="P124" s="271">
        <f>P125</f>
        <v>8070</v>
      </c>
      <c r="Q124" s="271">
        <f>Q125</f>
        <v>0</v>
      </c>
      <c r="R124" s="271">
        <f>R125</f>
        <v>0</v>
      </c>
      <c r="S124" s="271">
        <f>S125+S132</f>
        <v>2107975</v>
      </c>
      <c r="T124" s="271">
        <f>T125+T132</f>
        <v>10886</v>
      </c>
      <c r="U124" s="409">
        <f>U125+U132</f>
        <v>1053554</v>
      </c>
      <c r="V124" s="408">
        <f t="shared" si="20"/>
        <v>1065307</v>
      </c>
    </row>
    <row r="125" spans="1:22" s="73" customFormat="1" ht="21" customHeight="1">
      <c r="A125" s="371" t="s">
        <v>682</v>
      </c>
      <c r="B125" s="318" t="s">
        <v>427</v>
      </c>
      <c r="C125" s="311"/>
      <c r="D125" s="311" t="s">
        <v>426</v>
      </c>
      <c r="E125" s="312"/>
      <c r="F125" s="313"/>
      <c r="G125" s="314"/>
      <c r="H125" s="315"/>
      <c r="I125" s="316"/>
      <c r="J125" s="317"/>
      <c r="K125" s="317"/>
      <c r="L125" s="317"/>
      <c r="M125" s="317"/>
      <c r="N125" s="317"/>
      <c r="O125" s="317"/>
      <c r="P125" s="317">
        <f>P127</f>
        <v>8070</v>
      </c>
      <c r="Q125" s="317">
        <f>Q127</f>
        <v>0</v>
      </c>
      <c r="R125" s="317">
        <f>R127</f>
        <v>0</v>
      </c>
      <c r="S125" s="317">
        <f>S126+S127+S128+S129+S130+S131</f>
        <v>1529326</v>
      </c>
      <c r="T125" s="317">
        <f>T126+T127+T128+T129+T130+T131</f>
        <v>10886</v>
      </c>
      <c r="U125" s="317">
        <f>U126+U127+U128+U129+U130+U131</f>
        <v>1053554</v>
      </c>
      <c r="V125" s="317">
        <f>V126+V127+V128+V129+V130+V131</f>
        <v>486658</v>
      </c>
    </row>
    <row r="126" spans="1:22" ht="25.5" customHeight="1">
      <c r="A126" s="217"/>
      <c r="B126" s="107" t="s">
        <v>592</v>
      </c>
      <c r="C126" s="13"/>
      <c r="D126" s="22"/>
      <c r="E126" s="278" t="s">
        <v>593</v>
      </c>
      <c r="F126" s="272"/>
      <c r="G126" s="273"/>
      <c r="H126" s="274"/>
      <c r="I126" s="275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>
        <v>60006</v>
      </c>
      <c r="T126" s="193"/>
      <c r="U126" s="193">
        <v>60006</v>
      </c>
      <c r="V126" s="279">
        <f t="shared" si="20"/>
        <v>0</v>
      </c>
    </row>
    <row r="127" spans="1:22" ht="23.25" customHeight="1">
      <c r="A127" s="104"/>
      <c r="B127" s="107" t="s">
        <v>480</v>
      </c>
      <c r="C127" s="13"/>
      <c r="D127" s="13"/>
      <c r="E127" s="278" t="s">
        <v>126</v>
      </c>
      <c r="F127" s="272"/>
      <c r="G127" s="273"/>
      <c r="H127" s="274"/>
      <c r="I127" s="275"/>
      <c r="J127" s="192"/>
      <c r="K127" s="192"/>
      <c r="L127" s="192"/>
      <c r="M127" s="192"/>
      <c r="N127" s="192"/>
      <c r="O127" s="192"/>
      <c r="P127" s="192">
        <v>8070</v>
      </c>
      <c r="Q127" s="192">
        <v>0</v>
      </c>
      <c r="R127" s="192">
        <v>0</v>
      </c>
      <c r="S127" s="192">
        <v>54120</v>
      </c>
      <c r="T127" s="193"/>
      <c r="U127" s="193"/>
      <c r="V127" s="279">
        <f t="shared" si="20"/>
        <v>54120</v>
      </c>
    </row>
    <row r="128" spans="1:22" ht="27.75" customHeight="1">
      <c r="A128" s="216"/>
      <c r="B128" s="107" t="s">
        <v>171</v>
      </c>
      <c r="C128" s="26"/>
      <c r="D128" s="26"/>
      <c r="E128" s="278" t="s">
        <v>595</v>
      </c>
      <c r="F128" s="192"/>
      <c r="G128" s="192"/>
      <c r="H128" s="274"/>
      <c r="I128" s="274"/>
      <c r="J128" s="192"/>
      <c r="K128" s="192"/>
      <c r="L128" s="192"/>
      <c r="M128" s="192"/>
      <c r="N128" s="192"/>
      <c r="O128" s="192"/>
      <c r="P128" s="279"/>
      <c r="Q128" s="279"/>
      <c r="R128" s="279"/>
      <c r="S128" s="279">
        <v>840758</v>
      </c>
      <c r="T128" s="277"/>
      <c r="U128" s="277">
        <v>840758</v>
      </c>
      <c r="V128" s="279">
        <f t="shared" si="20"/>
        <v>0</v>
      </c>
    </row>
    <row r="129" spans="1:22" ht="33" customHeight="1">
      <c r="A129" s="216"/>
      <c r="B129" s="107" t="s">
        <v>808</v>
      </c>
      <c r="C129" s="26"/>
      <c r="D129" s="26"/>
      <c r="E129" s="278" t="s">
        <v>807</v>
      </c>
      <c r="F129" s="192"/>
      <c r="G129" s="192"/>
      <c r="H129" s="274"/>
      <c r="I129" s="274"/>
      <c r="J129" s="192"/>
      <c r="K129" s="192"/>
      <c r="L129" s="192"/>
      <c r="M129" s="192"/>
      <c r="N129" s="192"/>
      <c r="O129" s="192"/>
      <c r="P129" s="279"/>
      <c r="Q129" s="279"/>
      <c r="R129" s="279"/>
      <c r="S129" s="279">
        <v>0</v>
      </c>
      <c r="T129" s="277">
        <v>10886</v>
      </c>
      <c r="U129" s="277"/>
      <c r="V129" s="279">
        <f t="shared" si="20"/>
        <v>10886</v>
      </c>
    </row>
    <row r="130" spans="1:22" ht="24" customHeight="1">
      <c r="A130" s="216"/>
      <c r="B130" s="107" t="s">
        <v>171</v>
      </c>
      <c r="C130" s="26"/>
      <c r="D130" s="26"/>
      <c r="E130" s="278" t="s">
        <v>114</v>
      </c>
      <c r="F130" s="192"/>
      <c r="G130" s="192"/>
      <c r="H130" s="274"/>
      <c r="I130" s="274"/>
      <c r="J130" s="192"/>
      <c r="K130" s="192"/>
      <c r="L130" s="192"/>
      <c r="M130" s="192"/>
      <c r="N130" s="192"/>
      <c r="O130" s="192"/>
      <c r="P130" s="279"/>
      <c r="Q130" s="279"/>
      <c r="R130" s="279"/>
      <c r="S130" s="279">
        <v>162854</v>
      </c>
      <c r="T130" s="277"/>
      <c r="U130" s="277">
        <v>152790</v>
      </c>
      <c r="V130" s="279">
        <f t="shared" si="20"/>
        <v>10064</v>
      </c>
    </row>
    <row r="131" spans="1:22" ht="26.25" customHeight="1">
      <c r="A131" s="217"/>
      <c r="B131" s="107" t="s">
        <v>66</v>
      </c>
      <c r="C131" s="28"/>
      <c r="D131" s="44"/>
      <c r="E131" s="276">
        <v>6619</v>
      </c>
      <c r="F131" s="272"/>
      <c r="G131" s="273"/>
      <c r="H131" s="274"/>
      <c r="I131" s="275"/>
      <c r="J131" s="192"/>
      <c r="K131" s="192"/>
      <c r="L131" s="192"/>
      <c r="M131" s="192"/>
      <c r="N131" s="192"/>
      <c r="O131" s="192"/>
      <c r="P131" s="192"/>
      <c r="Q131" s="192"/>
      <c r="R131" s="192"/>
      <c r="S131" s="298">
        <v>411588</v>
      </c>
      <c r="T131" s="299"/>
      <c r="U131" s="299"/>
      <c r="V131" s="279">
        <f t="shared" si="20"/>
        <v>411588</v>
      </c>
    </row>
    <row r="132" spans="1:22" ht="27.75" customHeight="1">
      <c r="A132" s="372" t="s">
        <v>686</v>
      </c>
      <c r="B132" s="324" t="s">
        <v>25</v>
      </c>
      <c r="C132" s="321"/>
      <c r="D132" s="321">
        <v>85156</v>
      </c>
      <c r="E132" s="317"/>
      <c r="F132" s="313"/>
      <c r="G132" s="314">
        <v>2010880</v>
      </c>
      <c r="H132" s="315"/>
      <c r="I132" s="316"/>
      <c r="J132" s="317"/>
      <c r="K132" s="317">
        <v>0</v>
      </c>
      <c r="L132" s="317">
        <v>0</v>
      </c>
      <c r="M132" s="317">
        <v>567150</v>
      </c>
      <c r="N132" s="317">
        <v>0</v>
      </c>
      <c r="O132" s="317">
        <v>70165</v>
      </c>
      <c r="P132" s="317">
        <v>363000</v>
      </c>
      <c r="Q132" s="317">
        <v>0</v>
      </c>
      <c r="R132" s="317">
        <v>0</v>
      </c>
      <c r="S132" s="317">
        <f>S133</f>
        <v>578649</v>
      </c>
      <c r="T132" s="317">
        <f>T133</f>
        <v>0</v>
      </c>
      <c r="U132" s="405">
        <f>U133</f>
        <v>0</v>
      </c>
      <c r="V132" s="319">
        <f t="shared" si="20"/>
        <v>578649</v>
      </c>
    </row>
    <row r="133" spans="1:22" ht="30" customHeight="1">
      <c r="A133" s="104"/>
      <c r="B133" s="107" t="s">
        <v>99</v>
      </c>
      <c r="C133" s="28"/>
      <c r="D133" s="28"/>
      <c r="E133" s="276">
        <v>2110</v>
      </c>
      <c r="F133" s="272"/>
      <c r="G133" s="273"/>
      <c r="H133" s="274"/>
      <c r="I133" s="275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>
        <v>578649</v>
      </c>
      <c r="T133" s="193">
        <v>0</v>
      </c>
      <c r="U133" s="193"/>
      <c r="V133" s="279">
        <f t="shared" si="20"/>
        <v>578649</v>
      </c>
    </row>
    <row r="134" spans="1:22" ht="33.75" customHeight="1">
      <c r="A134" s="215" t="s">
        <v>733</v>
      </c>
      <c r="B134" s="200" t="s">
        <v>358</v>
      </c>
      <c r="C134" s="196">
        <v>852</v>
      </c>
      <c r="D134" s="196"/>
      <c r="E134" s="302"/>
      <c r="F134" s="289"/>
      <c r="G134" s="290"/>
      <c r="H134" s="281"/>
      <c r="I134" s="29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>
        <f>S135+S142+S148+S150+S154+S158+S161</f>
        <v>1905071</v>
      </c>
      <c r="T134" s="271">
        <f>T135+T142+T148+T150+T154+T158+T161</f>
        <v>14880</v>
      </c>
      <c r="U134" s="271">
        <f>U135+U142+U148+U150+U154+U158+U161</f>
        <v>70</v>
      </c>
      <c r="V134" s="413">
        <f t="shared" si="20"/>
        <v>1919881</v>
      </c>
    </row>
    <row r="135" spans="1:22" s="73" customFormat="1" ht="30.75" customHeight="1">
      <c r="A135" s="371" t="s">
        <v>682</v>
      </c>
      <c r="B135" s="318" t="s">
        <v>559</v>
      </c>
      <c r="C135" s="311"/>
      <c r="D135" s="311" t="s">
        <v>359</v>
      </c>
      <c r="E135" s="312"/>
      <c r="F135" s="313" t="e">
        <f>#REF!+F137+#REF!+#REF!+F138</f>
        <v>#REF!</v>
      </c>
      <c r="G135" s="314" t="e">
        <f>#REF!+G137+#REF!+#REF!+G138+#REF!</f>
        <v>#REF!</v>
      </c>
      <c r="H135" s="315" t="e">
        <f>IF(F135&gt;0,G135/F135*100,"")</f>
        <v>#REF!</v>
      </c>
      <c r="I135" s="316" t="e">
        <f>F135/F207</f>
        <v>#REF!</v>
      </c>
      <c r="J135" s="317"/>
      <c r="K135" s="317" t="e">
        <f>#REF!+K137+#REF!+#REF!+K138+#REF!</f>
        <v>#REF!</v>
      </c>
      <c r="L135" s="317" t="e">
        <f>#REF!+L137+#REF!+#REF!+L138++#REF!</f>
        <v>#REF!</v>
      </c>
      <c r="M135" s="317" t="e">
        <f>#REF!+M137+#REF!+#REF!+M138+#REF!</f>
        <v>#REF!</v>
      </c>
      <c r="N135" s="317" t="e">
        <f>#REF!+N137+#REF!+#REF!+N138+#REF!</f>
        <v>#REF!</v>
      </c>
      <c r="O135" s="317" t="e">
        <f>#REF!+O137+#REF!+#REF!+O138+#REF!</f>
        <v>#REF!</v>
      </c>
      <c r="P135" s="319">
        <f>P137+P138</f>
        <v>6850</v>
      </c>
      <c r="Q135" s="319">
        <f>Q137+Q138</f>
        <v>0</v>
      </c>
      <c r="R135" s="319">
        <f>R137+R138</f>
        <v>0</v>
      </c>
      <c r="S135" s="319">
        <f>S136+S137+S138+S139+S140+S141</f>
        <v>312472</v>
      </c>
      <c r="T135" s="319">
        <f>T136+T137+T138+T139+T140+T141</f>
        <v>280</v>
      </c>
      <c r="U135" s="319">
        <f>U136+U137+U138+U139+U140+U141</f>
        <v>70</v>
      </c>
      <c r="V135" s="319">
        <f>V136+V137+V138+V139+V140+V141</f>
        <v>312682</v>
      </c>
    </row>
    <row r="136" spans="1:22" ht="21.75" customHeight="1">
      <c r="A136" s="217"/>
      <c r="B136" s="107" t="s">
        <v>510</v>
      </c>
      <c r="C136" s="22"/>
      <c r="D136" s="22"/>
      <c r="E136" s="278" t="s">
        <v>511</v>
      </c>
      <c r="F136" s="272"/>
      <c r="G136" s="273"/>
      <c r="H136" s="274"/>
      <c r="I136" s="275"/>
      <c r="J136" s="192"/>
      <c r="K136" s="192"/>
      <c r="L136" s="192"/>
      <c r="M136" s="192"/>
      <c r="N136" s="192"/>
      <c r="O136" s="192"/>
      <c r="P136" s="279"/>
      <c r="Q136" s="279"/>
      <c r="R136" s="279"/>
      <c r="S136" s="279">
        <v>1720</v>
      </c>
      <c r="T136" s="277">
        <v>280</v>
      </c>
      <c r="U136" s="277"/>
      <c r="V136" s="279">
        <f t="shared" si="20"/>
        <v>2000</v>
      </c>
    </row>
    <row r="137" spans="1:22" ht="21" customHeight="1">
      <c r="A137" s="217"/>
      <c r="B137" s="107" t="s">
        <v>227</v>
      </c>
      <c r="C137" s="13"/>
      <c r="D137" s="13"/>
      <c r="E137" s="278" t="s">
        <v>126</v>
      </c>
      <c r="F137" s="272">
        <v>2740</v>
      </c>
      <c r="G137" s="273">
        <v>4713</v>
      </c>
      <c r="H137" s="274">
        <f>IF(F137&gt;0,G137/F137*100,"")</f>
        <v>172.007299270073</v>
      </c>
      <c r="I137" s="275" t="e">
        <f>F137/F207</f>
        <v>#REF!</v>
      </c>
      <c r="J137" s="192"/>
      <c r="K137" s="192">
        <v>0</v>
      </c>
      <c r="L137" s="192">
        <v>0</v>
      </c>
      <c r="M137" s="192">
        <v>6500</v>
      </c>
      <c r="N137" s="192">
        <v>0</v>
      </c>
      <c r="O137" s="192">
        <v>0</v>
      </c>
      <c r="P137" s="192">
        <v>6500</v>
      </c>
      <c r="Q137" s="192">
        <v>0</v>
      </c>
      <c r="R137" s="192">
        <v>0</v>
      </c>
      <c r="S137" s="192">
        <v>0</v>
      </c>
      <c r="T137" s="193"/>
      <c r="U137" s="193"/>
      <c r="V137" s="279">
        <f t="shared" si="20"/>
        <v>0</v>
      </c>
    </row>
    <row r="138" spans="1:22" ht="22.5" customHeight="1">
      <c r="A138" s="217"/>
      <c r="B138" s="108" t="s">
        <v>684</v>
      </c>
      <c r="C138" s="13"/>
      <c r="D138" s="13"/>
      <c r="E138" s="278" t="s">
        <v>124</v>
      </c>
      <c r="F138" s="272">
        <v>4000</v>
      </c>
      <c r="G138" s="273">
        <v>6000</v>
      </c>
      <c r="H138" s="274">
        <f>IF(F138&gt;0,G138/F138*100,"")</f>
        <v>150</v>
      </c>
      <c r="I138" s="275" t="e">
        <f>F138/F207</f>
        <v>#REF!</v>
      </c>
      <c r="J138" s="192"/>
      <c r="K138" s="192">
        <v>0</v>
      </c>
      <c r="L138" s="192">
        <v>0</v>
      </c>
      <c r="M138" s="192">
        <v>2500</v>
      </c>
      <c r="N138" s="192">
        <v>0</v>
      </c>
      <c r="O138" s="192">
        <v>0</v>
      </c>
      <c r="P138" s="192">
        <v>350</v>
      </c>
      <c r="Q138" s="192">
        <v>0</v>
      </c>
      <c r="R138" s="192">
        <v>0</v>
      </c>
      <c r="S138" s="192">
        <v>200</v>
      </c>
      <c r="T138" s="193"/>
      <c r="U138" s="193">
        <v>70</v>
      </c>
      <c r="V138" s="279">
        <f t="shared" si="20"/>
        <v>130</v>
      </c>
    </row>
    <row r="139" spans="1:22" ht="21" customHeight="1">
      <c r="A139" s="217"/>
      <c r="B139" s="107" t="s">
        <v>722</v>
      </c>
      <c r="C139" s="13"/>
      <c r="D139" s="13"/>
      <c r="E139" s="278" t="s">
        <v>721</v>
      </c>
      <c r="F139" s="272"/>
      <c r="G139" s="273"/>
      <c r="H139" s="274"/>
      <c r="I139" s="275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>
        <v>0</v>
      </c>
      <c r="T139" s="193">
        <v>0</v>
      </c>
      <c r="U139" s="193">
        <v>0</v>
      </c>
      <c r="V139" s="279">
        <f t="shared" si="20"/>
        <v>0</v>
      </c>
    </row>
    <row r="140" spans="1:22" ht="21" customHeight="1">
      <c r="A140" s="217"/>
      <c r="B140" s="107" t="s">
        <v>226</v>
      </c>
      <c r="C140" s="13"/>
      <c r="D140" s="13"/>
      <c r="E140" s="278" t="s">
        <v>318</v>
      </c>
      <c r="F140" s="272"/>
      <c r="G140" s="273"/>
      <c r="H140" s="274"/>
      <c r="I140" s="275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>
        <v>127000</v>
      </c>
      <c r="T140" s="193">
        <v>0</v>
      </c>
      <c r="U140" s="193">
        <v>0</v>
      </c>
      <c r="V140" s="279">
        <f t="shared" si="20"/>
        <v>127000</v>
      </c>
    </row>
    <row r="141" spans="1:22" s="31" customFormat="1" ht="28.5" customHeight="1">
      <c r="A141" s="217"/>
      <c r="B141" s="107" t="s">
        <v>101</v>
      </c>
      <c r="C141" s="44"/>
      <c r="D141" s="17"/>
      <c r="E141" s="276">
        <v>2320</v>
      </c>
      <c r="F141" s="272"/>
      <c r="G141" s="273"/>
      <c r="H141" s="274"/>
      <c r="I141" s="275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>
        <v>183552</v>
      </c>
      <c r="T141" s="193"/>
      <c r="U141" s="193"/>
      <c r="V141" s="279">
        <f t="shared" si="20"/>
        <v>183552</v>
      </c>
    </row>
    <row r="142" spans="1:22" s="73" customFormat="1" ht="20.25" customHeight="1">
      <c r="A142" s="371" t="s">
        <v>686</v>
      </c>
      <c r="B142" s="310" t="s">
        <v>439</v>
      </c>
      <c r="C142" s="311"/>
      <c r="D142" s="311" t="s">
        <v>360</v>
      </c>
      <c r="E142" s="312"/>
      <c r="F142" s="313">
        <f>F143+F145</f>
        <v>159900</v>
      </c>
      <c r="G142" s="314">
        <f>G143+G145</f>
        <v>170000</v>
      </c>
      <c r="H142" s="315">
        <f>IF(F142&gt;0,G142/F142*100,"")</f>
        <v>106.31644777986241</v>
      </c>
      <c r="I142" s="316" t="e">
        <f>F142/F207</f>
        <v>#REF!</v>
      </c>
      <c r="J142" s="317"/>
      <c r="K142" s="317">
        <f>K143+K145</f>
        <v>6500</v>
      </c>
      <c r="L142" s="317">
        <f>L143+L145</f>
        <v>500</v>
      </c>
      <c r="M142" s="317">
        <f>M143+M145</f>
        <v>180500</v>
      </c>
      <c r="N142" s="317">
        <f>N143+N145</f>
        <v>0</v>
      </c>
      <c r="O142" s="317">
        <f>O143+O145</f>
        <v>0</v>
      </c>
      <c r="P142" s="319">
        <f>P143+P145+P146</f>
        <v>182200</v>
      </c>
      <c r="Q142" s="319">
        <f>Q143+Q145+Q146</f>
        <v>0</v>
      </c>
      <c r="R142" s="319">
        <f>R143+R145+R146</f>
        <v>0</v>
      </c>
      <c r="S142" s="319">
        <f>S143+S144+S145+S146+S147</f>
        <v>1048635</v>
      </c>
      <c r="T142" s="319">
        <f>T143+T144+T145+T146+T147</f>
        <v>14173</v>
      </c>
      <c r="U142" s="319">
        <f>U143+U144+U145+U146+U147</f>
        <v>0</v>
      </c>
      <c r="V142" s="319">
        <f t="shared" si="20"/>
        <v>1062808</v>
      </c>
    </row>
    <row r="143" spans="1:22" ht="17.25" customHeight="1">
      <c r="A143" s="104"/>
      <c r="B143" s="108" t="s">
        <v>691</v>
      </c>
      <c r="C143" s="13"/>
      <c r="D143" s="13"/>
      <c r="E143" s="278" t="s">
        <v>127</v>
      </c>
      <c r="F143" s="272">
        <v>159000</v>
      </c>
      <c r="G143" s="273">
        <v>169000</v>
      </c>
      <c r="H143" s="274">
        <f>IF(F143&gt;0,G143/F143*100,"")</f>
        <v>106.28930817610063</v>
      </c>
      <c r="I143" s="275" t="e">
        <f>F143/F207</f>
        <v>#REF!</v>
      </c>
      <c r="J143" s="192"/>
      <c r="K143" s="192">
        <v>6500</v>
      </c>
      <c r="L143" s="192">
        <v>0</v>
      </c>
      <c r="M143" s="192">
        <v>180000</v>
      </c>
      <c r="N143" s="192">
        <v>0</v>
      </c>
      <c r="O143" s="192">
        <v>0</v>
      </c>
      <c r="P143" s="192">
        <v>182000</v>
      </c>
      <c r="Q143" s="192">
        <v>0</v>
      </c>
      <c r="R143" s="192">
        <v>0</v>
      </c>
      <c r="S143" s="192">
        <v>370498</v>
      </c>
      <c r="T143" s="193">
        <v>14002</v>
      </c>
      <c r="U143" s="193"/>
      <c r="V143" s="279">
        <f t="shared" si="20"/>
        <v>384500</v>
      </c>
    </row>
    <row r="144" spans="1:22" ht="17.25" customHeight="1">
      <c r="A144" s="104"/>
      <c r="B144" s="107" t="s">
        <v>479</v>
      </c>
      <c r="C144" s="13"/>
      <c r="D144" s="13"/>
      <c r="E144" s="278" t="s">
        <v>478</v>
      </c>
      <c r="F144" s="272"/>
      <c r="G144" s="273"/>
      <c r="H144" s="274"/>
      <c r="I144" s="275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>
        <v>28</v>
      </c>
      <c r="T144" s="193">
        <v>121</v>
      </c>
      <c r="U144" s="193"/>
      <c r="V144" s="279">
        <f t="shared" si="20"/>
        <v>149</v>
      </c>
    </row>
    <row r="145" spans="1:22" ht="16.5" customHeight="1">
      <c r="A145" s="104"/>
      <c r="B145" s="107" t="s">
        <v>684</v>
      </c>
      <c r="C145" s="13"/>
      <c r="D145" s="13"/>
      <c r="E145" s="278" t="s">
        <v>124</v>
      </c>
      <c r="F145" s="272">
        <v>900</v>
      </c>
      <c r="G145" s="273">
        <v>1000</v>
      </c>
      <c r="H145" s="274">
        <f>IF(F145&gt;0,G145/F145*100,"")</f>
        <v>111.11111111111111</v>
      </c>
      <c r="I145" s="274" t="e">
        <f>F145/F207</f>
        <v>#REF!</v>
      </c>
      <c r="J145" s="192"/>
      <c r="K145" s="192">
        <v>0</v>
      </c>
      <c r="L145" s="192">
        <v>500</v>
      </c>
      <c r="M145" s="192">
        <v>500</v>
      </c>
      <c r="N145" s="192">
        <v>0</v>
      </c>
      <c r="O145" s="192">
        <v>0</v>
      </c>
      <c r="P145" s="192">
        <v>50</v>
      </c>
      <c r="Q145" s="192">
        <v>0</v>
      </c>
      <c r="R145" s="192">
        <v>0</v>
      </c>
      <c r="S145" s="192">
        <v>150</v>
      </c>
      <c r="T145" s="193">
        <v>50</v>
      </c>
      <c r="U145" s="193"/>
      <c r="V145" s="279">
        <f t="shared" si="20"/>
        <v>200</v>
      </c>
    </row>
    <row r="146" spans="1:22" ht="16.5" customHeight="1">
      <c r="A146" s="104"/>
      <c r="B146" s="107" t="s">
        <v>708</v>
      </c>
      <c r="C146" s="13"/>
      <c r="D146" s="13"/>
      <c r="E146" s="278" t="s">
        <v>128</v>
      </c>
      <c r="F146" s="272"/>
      <c r="G146" s="273"/>
      <c r="H146" s="274"/>
      <c r="I146" s="274"/>
      <c r="J146" s="192"/>
      <c r="K146" s="192"/>
      <c r="L146" s="192"/>
      <c r="M146" s="192"/>
      <c r="N146" s="192"/>
      <c r="O146" s="192"/>
      <c r="P146" s="192">
        <v>150</v>
      </c>
      <c r="Q146" s="192">
        <v>0</v>
      </c>
      <c r="R146" s="192">
        <v>0</v>
      </c>
      <c r="S146" s="192">
        <v>26</v>
      </c>
      <c r="T146" s="193"/>
      <c r="U146" s="193"/>
      <c r="V146" s="279">
        <f t="shared" si="20"/>
        <v>26</v>
      </c>
    </row>
    <row r="147" spans="1:22" ht="17.25" customHeight="1">
      <c r="A147" s="104"/>
      <c r="B147" s="107" t="s">
        <v>225</v>
      </c>
      <c r="C147" s="28"/>
      <c r="D147" s="44"/>
      <c r="E147" s="276">
        <v>2130</v>
      </c>
      <c r="F147" s="292" t="e">
        <f>#REF!</f>
        <v>#REF!</v>
      </c>
      <c r="G147" s="293" t="e">
        <f>#REF!</f>
        <v>#REF!</v>
      </c>
      <c r="H147" s="294" t="e">
        <f>IF(F147&gt;0,G147/F147*100,"")</f>
        <v>#REF!</v>
      </c>
      <c r="I147" s="294" t="e">
        <f>F147/F207</f>
        <v>#REF!</v>
      </c>
      <c r="J147" s="194"/>
      <c r="K147" s="194" t="e">
        <f>#REF!</f>
        <v>#REF!</v>
      </c>
      <c r="L147" s="194" t="e">
        <f>#REF!</f>
        <v>#REF!</v>
      </c>
      <c r="M147" s="194" t="e">
        <f>#REF!</f>
        <v>#REF!</v>
      </c>
      <c r="N147" s="194" t="e">
        <f>#REF!</f>
        <v>#REF!</v>
      </c>
      <c r="O147" s="194" t="e">
        <f>#REF!</f>
        <v>#REF!</v>
      </c>
      <c r="P147" s="296" t="e">
        <f>#REF!</f>
        <v>#REF!</v>
      </c>
      <c r="Q147" s="296" t="e">
        <f>#REF!</f>
        <v>#REF!</v>
      </c>
      <c r="R147" s="296" t="e">
        <f>#REF!</f>
        <v>#REF!</v>
      </c>
      <c r="S147" s="279">
        <v>677933</v>
      </c>
      <c r="T147" s="277">
        <v>0</v>
      </c>
      <c r="U147" s="277">
        <v>0</v>
      </c>
      <c r="V147" s="279">
        <f t="shared" si="20"/>
        <v>677933</v>
      </c>
    </row>
    <row r="148" spans="1:22" ht="17.25" customHeight="1">
      <c r="A148" s="372" t="s">
        <v>18</v>
      </c>
      <c r="B148" s="318" t="s">
        <v>725</v>
      </c>
      <c r="C148" s="321"/>
      <c r="D148" s="346">
        <v>85203</v>
      </c>
      <c r="E148" s="322"/>
      <c r="F148" s="445"/>
      <c r="G148" s="446"/>
      <c r="H148" s="447"/>
      <c r="I148" s="447"/>
      <c r="J148" s="448"/>
      <c r="K148" s="448"/>
      <c r="L148" s="448"/>
      <c r="M148" s="448"/>
      <c r="N148" s="448"/>
      <c r="O148" s="448"/>
      <c r="P148" s="449"/>
      <c r="Q148" s="449"/>
      <c r="R148" s="449"/>
      <c r="S148" s="319">
        <f>S149</f>
        <v>235666</v>
      </c>
      <c r="T148" s="319">
        <f>T149</f>
        <v>0</v>
      </c>
      <c r="U148" s="319">
        <f>U149</f>
        <v>0</v>
      </c>
      <c r="V148" s="319">
        <f t="shared" si="20"/>
        <v>235666</v>
      </c>
    </row>
    <row r="149" spans="1:22" ht="21.75" customHeight="1">
      <c r="A149" s="104"/>
      <c r="B149" s="107" t="s">
        <v>99</v>
      </c>
      <c r="C149" s="28"/>
      <c r="D149" s="44"/>
      <c r="E149" s="276">
        <v>2110</v>
      </c>
      <c r="F149" s="292"/>
      <c r="G149" s="293"/>
      <c r="H149" s="294"/>
      <c r="I149" s="294"/>
      <c r="J149" s="194"/>
      <c r="K149" s="194"/>
      <c r="L149" s="194"/>
      <c r="M149" s="194"/>
      <c r="N149" s="194"/>
      <c r="O149" s="194"/>
      <c r="P149" s="296"/>
      <c r="Q149" s="296"/>
      <c r="R149" s="296"/>
      <c r="S149" s="279">
        <v>235666</v>
      </c>
      <c r="T149" s="277"/>
      <c r="U149" s="277"/>
      <c r="V149" s="407">
        <f t="shared" si="20"/>
        <v>235666</v>
      </c>
    </row>
    <row r="150" spans="1:22" s="73" customFormat="1" ht="18" customHeight="1">
      <c r="A150" s="371" t="s">
        <v>20</v>
      </c>
      <c r="B150" s="318" t="s">
        <v>560</v>
      </c>
      <c r="C150" s="311"/>
      <c r="D150" s="311" t="s">
        <v>365</v>
      </c>
      <c r="E150" s="312"/>
      <c r="F150" s="313"/>
      <c r="G150" s="314"/>
      <c r="H150" s="315"/>
      <c r="I150" s="315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>
        <f>S151+S152+S153</f>
        <v>65648</v>
      </c>
      <c r="T150" s="317">
        <f>T151+T152+T153</f>
        <v>177</v>
      </c>
      <c r="U150" s="317">
        <f>U151+U152+U153</f>
        <v>0</v>
      </c>
      <c r="V150" s="317">
        <f>V151+V152+V153</f>
        <v>65825</v>
      </c>
    </row>
    <row r="151" spans="1:22" ht="21" customHeight="1">
      <c r="A151" s="104"/>
      <c r="B151" s="107" t="s">
        <v>510</v>
      </c>
      <c r="C151" s="13"/>
      <c r="D151" s="13"/>
      <c r="E151" s="278" t="s">
        <v>511</v>
      </c>
      <c r="F151" s="272"/>
      <c r="G151" s="273"/>
      <c r="H151" s="274"/>
      <c r="I151" s="274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>
        <v>1063</v>
      </c>
      <c r="T151" s="193">
        <v>177</v>
      </c>
      <c r="U151" s="193"/>
      <c r="V151" s="279">
        <f t="shared" si="20"/>
        <v>1240</v>
      </c>
    </row>
    <row r="152" spans="1:22" ht="21" customHeight="1">
      <c r="A152" s="104"/>
      <c r="B152" s="107" t="s">
        <v>722</v>
      </c>
      <c r="C152" s="13"/>
      <c r="D152" s="13"/>
      <c r="E152" s="278" t="s">
        <v>721</v>
      </c>
      <c r="F152" s="272"/>
      <c r="G152" s="273"/>
      <c r="H152" s="274"/>
      <c r="I152" s="274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>
        <v>0</v>
      </c>
      <c r="T152" s="193">
        <v>0</v>
      </c>
      <c r="U152" s="193">
        <v>0</v>
      </c>
      <c r="V152" s="279">
        <f t="shared" si="20"/>
        <v>0</v>
      </c>
    </row>
    <row r="153" spans="1:22" ht="22.5" customHeight="1">
      <c r="A153" s="104"/>
      <c r="B153" s="107" t="s">
        <v>101</v>
      </c>
      <c r="C153" s="13"/>
      <c r="D153" s="13"/>
      <c r="E153" s="278" t="s">
        <v>415</v>
      </c>
      <c r="F153" s="192"/>
      <c r="G153" s="192"/>
      <c r="H153" s="274"/>
      <c r="I153" s="274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>
        <v>64585</v>
      </c>
      <c r="T153" s="193">
        <v>0</v>
      </c>
      <c r="U153" s="193"/>
      <c r="V153" s="279">
        <f t="shared" si="20"/>
        <v>64585</v>
      </c>
    </row>
    <row r="154" spans="1:22" s="73" customFormat="1" ht="19.5" customHeight="1">
      <c r="A154" s="371" t="s">
        <v>325</v>
      </c>
      <c r="B154" s="318" t="s">
        <v>594</v>
      </c>
      <c r="C154" s="311"/>
      <c r="D154" s="311" t="s">
        <v>361</v>
      </c>
      <c r="E154" s="312"/>
      <c r="F154" s="317"/>
      <c r="G154" s="317"/>
      <c r="H154" s="315"/>
      <c r="I154" s="315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>
        <f>S155+S156+S157</f>
        <v>6150</v>
      </c>
      <c r="T154" s="317">
        <f>T155+T156+T157</f>
        <v>250</v>
      </c>
      <c r="U154" s="317">
        <f>U155+U156+U157</f>
        <v>0</v>
      </c>
      <c r="V154" s="319">
        <f t="shared" si="20"/>
        <v>6400</v>
      </c>
    </row>
    <row r="155" spans="1:22" ht="19.5" customHeight="1">
      <c r="A155" s="104"/>
      <c r="B155" s="107" t="s">
        <v>684</v>
      </c>
      <c r="C155" s="13"/>
      <c r="D155" s="13"/>
      <c r="E155" s="278" t="s">
        <v>124</v>
      </c>
      <c r="F155" s="192"/>
      <c r="G155" s="192"/>
      <c r="H155" s="274"/>
      <c r="I155" s="274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>
        <v>150</v>
      </c>
      <c r="T155" s="193">
        <v>250</v>
      </c>
      <c r="U155" s="193"/>
      <c r="V155" s="279">
        <f t="shared" si="20"/>
        <v>400</v>
      </c>
    </row>
    <row r="156" spans="1:22" ht="21" customHeight="1">
      <c r="A156" s="104"/>
      <c r="B156" s="107" t="s">
        <v>99</v>
      </c>
      <c r="C156" s="13"/>
      <c r="D156" s="13"/>
      <c r="E156" s="278" t="s">
        <v>411</v>
      </c>
      <c r="F156" s="192"/>
      <c r="G156" s="192"/>
      <c r="H156" s="274"/>
      <c r="I156" s="274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>
        <v>3000</v>
      </c>
      <c r="T156" s="193">
        <v>0</v>
      </c>
      <c r="U156" s="193"/>
      <c r="V156" s="279">
        <f t="shared" si="20"/>
        <v>3000</v>
      </c>
    </row>
    <row r="157" spans="1:22" ht="20.25" customHeight="1">
      <c r="A157" s="104"/>
      <c r="B157" s="107" t="s">
        <v>102</v>
      </c>
      <c r="C157" s="13"/>
      <c r="D157" s="13"/>
      <c r="E157" s="278" t="s">
        <v>318</v>
      </c>
      <c r="F157" s="192"/>
      <c r="G157" s="192"/>
      <c r="H157" s="274"/>
      <c r="I157" s="274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>
        <v>3000</v>
      </c>
      <c r="T157" s="193">
        <v>0</v>
      </c>
      <c r="U157" s="193"/>
      <c r="V157" s="279">
        <f t="shared" si="20"/>
        <v>3000</v>
      </c>
    </row>
    <row r="158" spans="1:22" ht="33.75" customHeight="1">
      <c r="A158" s="372" t="s">
        <v>723</v>
      </c>
      <c r="B158" s="444" t="s">
        <v>502</v>
      </c>
      <c r="C158" s="320"/>
      <c r="D158" s="320" t="s">
        <v>501</v>
      </c>
      <c r="E158" s="312"/>
      <c r="F158" s="317"/>
      <c r="G158" s="317"/>
      <c r="H158" s="315"/>
      <c r="I158" s="315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>
        <f>S159+S160</f>
        <v>76500</v>
      </c>
      <c r="T158" s="317">
        <f>T159+T160</f>
        <v>0</v>
      </c>
      <c r="U158" s="317">
        <f>U159+U160</f>
        <v>0</v>
      </c>
      <c r="V158" s="319">
        <f t="shared" si="20"/>
        <v>76500</v>
      </c>
    </row>
    <row r="159" spans="1:22" ht="18" customHeight="1">
      <c r="A159" s="489"/>
      <c r="B159" s="107" t="s">
        <v>708</v>
      </c>
      <c r="C159" s="347"/>
      <c r="D159" s="347"/>
      <c r="E159" s="309" t="s">
        <v>128</v>
      </c>
      <c r="F159" s="298"/>
      <c r="G159" s="298"/>
      <c r="H159" s="307"/>
      <c r="I159" s="307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>
        <v>1500</v>
      </c>
      <c r="T159" s="299">
        <v>0</v>
      </c>
      <c r="U159" s="299"/>
      <c r="V159" s="407">
        <f>S159+T159-U159</f>
        <v>1500</v>
      </c>
    </row>
    <row r="160" spans="1:22" ht="22.5" customHeight="1">
      <c r="A160" s="104"/>
      <c r="B160" s="107" t="s">
        <v>102</v>
      </c>
      <c r="C160" s="13"/>
      <c r="D160" s="13"/>
      <c r="E160" s="278" t="s">
        <v>318</v>
      </c>
      <c r="F160" s="192"/>
      <c r="G160" s="192"/>
      <c r="H160" s="274"/>
      <c r="I160" s="274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>
        <v>75000</v>
      </c>
      <c r="T160" s="193">
        <v>0</v>
      </c>
      <c r="U160" s="193"/>
      <c r="V160" s="407">
        <f t="shared" si="20"/>
        <v>75000</v>
      </c>
    </row>
    <row r="161" spans="1:22" ht="20.25" customHeight="1">
      <c r="A161" s="372" t="s">
        <v>724</v>
      </c>
      <c r="B161" s="318" t="s">
        <v>309</v>
      </c>
      <c r="C161" s="320"/>
      <c r="D161" s="320" t="s">
        <v>363</v>
      </c>
      <c r="E161" s="312"/>
      <c r="F161" s="317"/>
      <c r="G161" s="317"/>
      <c r="H161" s="315"/>
      <c r="I161" s="315"/>
      <c r="J161" s="317"/>
      <c r="K161" s="317"/>
      <c r="L161" s="317"/>
      <c r="M161" s="317"/>
      <c r="N161" s="317"/>
      <c r="O161" s="317"/>
      <c r="P161" s="317"/>
      <c r="Q161" s="317"/>
      <c r="R161" s="317"/>
      <c r="S161" s="317">
        <f>S162</f>
        <v>160000</v>
      </c>
      <c r="T161" s="317">
        <f>T162</f>
        <v>0</v>
      </c>
      <c r="U161" s="317">
        <f>U162</f>
        <v>0</v>
      </c>
      <c r="V161" s="319">
        <f t="shared" si="20"/>
        <v>160000</v>
      </c>
    </row>
    <row r="162" spans="1:22" ht="20.25" customHeight="1">
      <c r="A162" s="104"/>
      <c r="B162" s="107" t="s">
        <v>722</v>
      </c>
      <c r="C162" s="13"/>
      <c r="D162" s="13"/>
      <c r="E162" s="278" t="s">
        <v>721</v>
      </c>
      <c r="F162" s="192"/>
      <c r="G162" s="192"/>
      <c r="H162" s="274"/>
      <c r="I162" s="274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>
        <v>160000</v>
      </c>
      <c r="T162" s="193">
        <v>0</v>
      </c>
      <c r="U162" s="193"/>
      <c r="V162" s="407">
        <f t="shared" si="20"/>
        <v>160000</v>
      </c>
    </row>
    <row r="163" spans="1:22" ht="25.5" customHeight="1">
      <c r="A163" s="215" t="s">
        <v>103</v>
      </c>
      <c r="B163" s="200" t="s">
        <v>362</v>
      </c>
      <c r="C163" s="201" t="s">
        <v>432</v>
      </c>
      <c r="D163" s="201"/>
      <c r="E163" s="280"/>
      <c r="F163" s="271"/>
      <c r="G163" s="271"/>
      <c r="H163" s="281"/>
      <c r="I163" s="28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>
        <f>S164+S168+S174</f>
        <v>1187829</v>
      </c>
      <c r="T163" s="271">
        <f>T164+T168+T174</f>
        <v>843</v>
      </c>
      <c r="U163" s="409">
        <f>U164+U168+U174</f>
        <v>37870</v>
      </c>
      <c r="V163" s="408">
        <f t="shared" si="20"/>
        <v>1150802</v>
      </c>
    </row>
    <row r="164" spans="1:22" s="73" customFormat="1" ht="15.75" customHeight="1">
      <c r="A164" s="371" t="s">
        <v>682</v>
      </c>
      <c r="B164" s="318" t="s">
        <v>21</v>
      </c>
      <c r="C164" s="311"/>
      <c r="D164" s="311" t="s">
        <v>444</v>
      </c>
      <c r="E164" s="312"/>
      <c r="F164" s="317">
        <f>F165</f>
        <v>19873</v>
      </c>
      <c r="G164" s="317">
        <f>G165</f>
        <v>20000</v>
      </c>
      <c r="H164" s="315">
        <f>G164/F164*100</f>
        <v>100.63905801841695</v>
      </c>
      <c r="I164" s="315" t="e">
        <f>F164/F214</f>
        <v>#DIV/0!</v>
      </c>
      <c r="J164" s="317"/>
      <c r="K164" s="317">
        <f aca="true" t="shared" si="21" ref="K164:R164">K165</f>
        <v>0</v>
      </c>
      <c r="L164" s="317">
        <f t="shared" si="21"/>
        <v>0</v>
      </c>
      <c r="M164" s="317">
        <f t="shared" si="21"/>
        <v>12412</v>
      </c>
      <c r="N164" s="317">
        <f t="shared" si="21"/>
        <v>0</v>
      </c>
      <c r="O164" s="317">
        <f t="shared" si="21"/>
        <v>0</v>
      </c>
      <c r="P164" s="319">
        <f t="shared" si="21"/>
        <v>12412</v>
      </c>
      <c r="Q164" s="319">
        <f t="shared" si="21"/>
        <v>0</v>
      </c>
      <c r="R164" s="319">
        <f t="shared" si="21"/>
        <v>0</v>
      </c>
      <c r="S164" s="319">
        <f>S165+S166+S167</f>
        <v>684009</v>
      </c>
      <c r="T164" s="319">
        <f>T165+T166+T167</f>
        <v>843</v>
      </c>
      <c r="U164" s="323">
        <f>U165+U166+U167</f>
        <v>584</v>
      </c>
      <c r="V164" s="319">
        <f t="shared" si="20"/>
        <v>684268</v>
      </c>
    </row>
    <row r="165" spans="1:22" ht="20.25" customHeight="1">
      <c r="A165" s="104"/>
      <c r="B165" s="107" t="s">
        <v>708</v>
      </c>
      <c r="C165" s="13"/>
      <c r="D165" s="13"/>
      <c r="E165" s="278" t="s">
        <v>128</v>
      </c>
      <c r="F165" s="192">
        <v>19873</v>
      </c>
      <c r="G165" s="192">
        <v>20000</v>
      </c>
      <c r="H165" s="274">
        <f>G165/F165*100</f>
        <v>100.63905801841695</v>
      </c>
      <c r="I165" s="274" t="e">
        <f>F165/F214</f>
        <v>#DIV/0!</v>
      </c>
      <c r="J165" s="192"/>
      <c r="K165" s="192">
        <v>0</v>
      </c>
      <c r="L165" s="192">
        <v>0</v>
      </c>
      <c r="M165" s="192">
        <v>12412</v>
      </c>
      <c r="N165" s="192">
        <v>0</v>
      </c>
      <c r="O165" s="192">
        <v>0</v>
      </c>
      <c r="P165" s="192">
        <v>12412</v>
      </c>
      <c r="Q165" s="192">
        <v>0</v>
      </c>
      <c r="R165" s="192">
        <v>0</v>
      </c>
      <c r="S165" s="192">
        <v>20951</v>
      </c>
      <c r="T165" s="193">
        <v>0</v>
      </c>
      <c r="U165" s="193">
        <v>0</v>
      </c>
      <c r="V165" s="279">
        <f t="shared" si="20"/>
        <v>20951</v>
      </c>
    </row>
    <row r="166" spans="1:22" ht="26.25" customHeight="1">
      <c r="A166" s="104"/>
      <c r="B166" s="107" t="s">
        <v>777</v>
      </c>
      <c r="C166" s="13"/>
      <c r="D166" s="13"/>
      <c r="E166" s="278" t="s">
        <v>656</v>
      </c>
      <c r="F166" s="192"/>
      <c r="G166" s="192"/>
      <c r="H166" s="274"/>
      <c r="I166" s="274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>
        <v>64259</v>
      </c>
      <c r="T166" s="193">
        <v>0</v>
      </c>
      <c r="U166" s="193">
        <v>584</v>
      </c>
      <c r="V166" s="279">
        <f t="shared" si="20"/>
        <v>63675</v>
      </c>
    </row>
    <row r="167" spans="1:23" ht="33.75" customHeight="1">
      <c r="A167" s="104"/>
      <c r="B167" s="107" t="s">
        <v>599</v>
      </c>
      <c r="C167" s="13"/>
      <c r="D167" s="13"/>
      <c r="E167" s="278" t="s">
        <v>655</v>
      </c>
      <c r="F167" s="192"/>
      <c r="G167" s="192"/>
      <c r="H167" s="274"/>
      <c r="I167" s="274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>
        <v>598799</v>
      </c>
      <c r="T167" s="193">
        <v>843</v>
      </c>
      <c r="U167" s="193"/>
      <c r="V167" s="279">
        <f t="shared" si="20"/>
        <v>599642</v>
      </c>
      <c r="W167" s="34"/>
    </row>
    <row r="168" spans="1:23" s="73" customFormat="1" ht="21" customHeight="1">
      <c r="A168" s="371" t="s">
        <v>686</v>
      </c>
      <c r="B168" s="326" t="s">
        <v>447</v>
      </c>
      <c r="C168" s="311"/>
      <c r="D168" s="311" t="s">
        <v>446</v>
      </c>
      <c r="E168" s="312"/>
      <c r="F168" s="317" t="e">
        <f>#REF!</f>
        <v>#REF!</v>
      </c>
      <c r="G168" s="317" t="e">
        <f>#REF!</f>
        <v>#REF!</v>
      </c>
      <c r="H168" s="315" t="e">
        <f>IF(F168&gt;0,G168/F168*100,"")</f>
        <v>#REF!</v>
      </c>
      <c r="I168" s="315" t="e">
        <f>F168/F214</f>
        <v>#REF!</v>
      </c>
      <c r="J168" s="317"/>
      <c r="K168" s="317" t="e">
        <f>#REF!</f>
        <v>#REF!</v>
      </c>
      <c r="L168" s="317" t="e">
        <f>#REF!</f>
        <v>#REF!</v>
      </c>
      <c r="M168" s="317" t="e">
        <f>#REF!+M172</f>
        <v>#REF!</v>
      </c>
      <c r="N168" s="317" t="e">
        <f>#REF!+N172</f>
        <v>#REF!</v>
      </c>
      <c r="O168" s="317" t="e">
        <f>#REF!+O172</f>
        <v>#REF!</v>
      </c>
      <c r="P168" s="319" t="e">
        <f>#REF!+P172</f>
        <v>#REF!</v>
      </c>
      <c r="Q168" s="319" t="e">
        <f>#REF!+Q172</f>
        <v>#REF!</v>
      </c>
      <c r="R168" s="319" t="e">
        <f>#REF!+R172</f>
        <v>#REF!</v>
      </c>
      <c r="S168" s="319">
        <f>S169+S170+S171+S172+S173</f>
        <v>177415</v>
      </c>
      <c r="T168" s="319">
        <f>T169+T170+T171+T172+T173</f>
        <v>0</v>
      </c>
      <c r="U168" s="319">
        <f>U169+U170+U171+U172+U173</f>
        <v>0</v>
      </c>
      <c r="V168" s="319">
        <f t="shared" si="20"/>
        <v>177415</v>
      </c>
      <c r="W168" s="332"/>
    </row>
    <row r="169" spans="1:23" ht="23.25" customHeight="1">
      <c r="A169" s="217"/>
      <c r="B169" s="107" t="s">
        <v>690</v>
      </c>
      <c r="C169" s="22"/>
      <c r="D169" s="26"/>
      <c r="E169" s="278" t="s">
        <v>126</v>
      </c>
      <c r="F169" s="192"/>
      <c r="G169" s="192"/>
      <c r="H169" s="274"/>
      <c r="I169" s="274"/>
      <c r="J169" s="192"/>
      <c r="K169" s="192"/>
      <c r="L169" s="192"/>
      <c r="M169" s="192"/>
      <c r="N169" s="192"/>
      <c r="O169" s="192"/>
      <c r="P169" s="279"/>
      <c r="Q169" s="279"/>
      <c r="R169" s="279"/>
      <c r="S169" s="279">
        <v>0</v>
      </c>
      <c r="T169" s="277"/>
      <c r="U169" s="277"/>
      <c r="V169" s="279">
        <f t="shared" si="20"/>
        <v>0</v>
      </c>
      <c r="W169" s="187"/>
    </row>
    <row r="170" spans="1:23" ht="17.25" customHeight="1">
      <c r="A170" s="217"/>
      <c r="B170" s="107" t="s">
        <v>479</v>
      </c>
      <c r="C170" s="22"/>
      <c r="D170" s="26"/>
      <c r="E170" s="278" t="s">
        <v>478</v>
      </c>
      <c r="F170" s="192"/>
      <c r="G170" s="192"/>
      <c r="H170" s="274"/>
      <c r="I170" s="274"/>
      <c r="J170" s="192"/>
      <c r="K170" s="192"/>
      <c r="L170" s="192"/>
      <c r="M170" s="192"/>
      <c r="N170" s="192"/>
      <c r="O170" s="192"/>
      <c r="P170" s="279"/>
      <c r="Q170" s="279"/>
      <c r="R170" s="279"/>
      <c r="S170" s="279">
        <v>22500</v>
      </c>
      <c r="T170" s="277">
        <v>0</v>
      </c>
      <c r="U170" s="277"/>
      <c r="V170" s="279">
        <f t="shared" si="20"/>
        <v>22500</v>
      </c>
      <c r="W170" s="187"/>
    </row>
    <row r="171" spans="1:23" ht="18" customHeight="1">
      <c r="A171" s="104"/>
      <c r="B171" s="107" t="s">
        <v>684</v>
      </c>
      <c r="C171" s="13"/>
      <c r="D171" s="13"/>
      <c r="E171" s="278" t="s">
        <v>124</v>
      </c>
      <c r="F171" s="192"/>
      <c r="G171" s="192"/>
      <c r="H171" s="274"/>
      <c r="I171" s="274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>
        <v>85</v>
      </c>
      <c r="T171" s="193"/>
      <c r="U171" s="193">
        <v>0</v>
      </c>
      <c r="V171" s="279">
        <f t="shared" si="20"/>
        <v>85</v>
      </c>
      <c r="W171" s="187"/>
    </row>
    <row r="172" spans="1:23" ht="19.5" customHeight="1">
      <c r="A172" s="104"/>
      <c r="B172" s="107" t="s">
        <v>708</v>
      </c>
      <c r="C172" s="13"/>
      <c r="D172" s="13"/>
      <c r="E172" s="278" t="s">
        <v>128</v>
      </c>
      <c r="F172" s="192"/>
      <c r="G172" s="192"/>
      <c r="H172" s="274"/>
      <c r="I172" s="274"/>
      <c r="J172" s="192"/>
      <c r="K172" s="192"/>
      <c r="L172" s="192"/>
      <c r="M172" s="192">
        <v>30</v>
      </c>
      <c r="N172" s="192">
        <v>0</v>
      </c>
      <c r="O172" s="192">
        <v>0</v>
      </c>
      <c r="P172" s="192">
        <v>30</v>
      </c>
      <c r="Q172" s="192">
        <v>0</v>
      </c>
      <c r="R172" s="192">
        <v>0</v>
      </c>
      <c r="S172" s="192">
        <v>14030</v>
      </c>
      <c r="T172" s="193"/>
      <c r="U172" s="193"/>
      <c r="V172" s="279">
        <f t="shared" si="20"/>
        <v>14030</v>
      </c>
      <c r="W172" s="187"/>
    </row>
    <row r="173" spans="1:23" ht="19.5" customHeight="1">
      <c r="A173" s="217"/>
      <c r="B173" s="107" t="s">
        <v>228</v>
      </c>
      <c r="C173" s="17"/>
      <c r="D173" s="17"/>
      <c r="E173" s="276">
        <v>2690</v>
      </c>
      <c r="F173" s="272"/>
      <c r="G173" s="273">
        <v>71700</v>
      </c>
      <c r="H173" s="274"/>
      <c r="I173" s="275"/>
      <c r="J173" s="192"/>
      <c r="K173" s="192">
        <v>0</v>
      </c>
      <c r="L173" s="192">
        <v>0</v>
      </c>
      <c r="M173" s="192">
        <v>48720</v>
      </c>
      <c r="N173" s="192">
        <v>0</v>
      </c>
      <c r="O173" s="192">
        <v>0</v>
      </c>
      <c r="P173" s="192">
        <v>15000</v>
      </c>
      <c r="Q173" s="192">
        <v>103519</v>
      </c>
      <c r="R173" s="192">
        <v>0</v>
      </c>
      <c r="S173" s="192">
        <v>140800</v>
      </c>
      <c r="T173" s="193"/>
      <c r="U173" s="193"/>
      <c r="V173" s="279">
        <f aca="true" t="shared" si="22" ref="V173:V212">S173+T173-U173</f>
        <v>140800</v>
      </c>
      <c r="W173" s="187"/>
    </row>
    <row r="174" spans="1:23" ht="22.5" customHeight="1">
      <c r="A174" s="371" t="s">
        <v>18</v>
      </c>
      <c r="B174" s="318" t="s">
        <v>309</v>
      </c>
      <c r="C174" s="325"/>
      <c r="D174" s="346">
        <v>85395</v>
      </c>
      <c r="E174" s="322"/>
      <c r="F174" s="313"/>
      <c r="G174" s="314"/>
      <c r="H174" s="315"/>
      <c r="I174" s="316"/>
      <c r="J174" s="317"/>
      <c r="K174" s="317"/>
      <c r="L174" s="317"/>
      <c r="M174" s="317"/>
      <c r="N174" s="317"/>
      <c r="O174" s="317"/>
      <c r="P174" s="317"/>
      <c r="Q174" s="317"/>
      <c r="R174" s="317"/>
      <c r="S174" s="317">
        <f>S175+S176+S177</f>
        <v>326405</v>
      </c>
      <c r="T174" s="317">
        <f>T175+T176+T177</f>
        <v>0</v>
      </c>
      <c r="U174" s="317">
        <f>U175+U176+U177</f>
        <v>37286</v>
      </c>
      <c r="V174" s="319">
        <f t="shared" si="22"/>
        <v>289119</v>
      </c>
      <c r="W174" s="187"/>
    </row>
    <row r="175" spans="1:23" ht="22.5" customHeight="1">
      <c r="A175" s="480"/>
      <c r="B175" s="107" t="s">
        <v>684</v>
      </c>
      <c r="C175" s="222"/>
      <c r="D175" s="481"/>
      <c r="E175" s="309" t="s">
        <v>124</v>
      </c>
      <c r="F175" s="305"/>
      <c r="G175" s="306"/>
      <c r="H175" s="307"/>
      <c r="I175" s="30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>
        <v>15</v>
      </c>
      <c r="T175" s="299">
        <v>0</v>
      </c>
      <c r="U175" s="299"/>
      <c r="V175" s="407">
        <f>S175+T175-U175</f>
        <v>15</v>
      </c>
      <c r="W175" s="187"/>
    </row>
    <row r="176" spans="1:23" ht="31.5" customHeight="1">
      <c r="A176" s="217"/>
      <c r="B176" s="107" t="s">
        <v>50</v>
      </c>
      <c r="C176" s="17"/>
      <c r="D176" s="17"/>
      <c r="E176" s="276">
        <v>2888</v>
      </c>
      <c r="F176" s="272"/>
      <c r="G176" s="273"/>
      <c r="H176" s="274"/>
      <c r="I176" s="275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>
        <v>244790</v>
      </c>
      <c r="T176" s="193">
        <v>0</v>
      </c>
      <c r="U176" s="193">
        <v>27962</v>
      </c>
      <c r="V176" s="407">
        <f t="shared" si="22"/>
        <v>216828</v>
      </c>
      <c r="W176" s="187"/>
    </row>
    <row r="177" spans="1:23" ht="32.25" customHeight="1">
      <c r="A177" s="217"/>
      <c r="B177" s="107" t="s">
        <v>50</v>
      </c>
      <c r="C177" s="17"/>
      <c r="D177" s="17"/>
      <c r="E177" s="276">
        <v>2889</v>
      </c>
      <c r="F177" s="272"/>
      <c r="G177" s="273"/>
      <c r="H177" s="274"/>
      <c r="I177" s="275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>
        <v>81600</v>
      </c>
      <c r="T177" s="193">
        <v>0</v>
      </c>
      <c r="U177" s="193">
        <v>9324</v>
      </c>
      <c r="V177" s="407">
        <f t="shared" si="22"/>
        <v>72276</v>
      </c>
      <c r="W177" s="34"/>
    </row>
    <row r="178" spans="1:22" ht="27.75" customHeight="1">
      <c r="A178" s="215" t="s">
        <v>105</v>
      </c>
      <c r="B178" s="206" t="s">
        <v>22</v>
      </c>
      <c r="C178" s="201" t="s">
        <v>449</v>
      </c>
      <c r="D178" s="203"/>
      <c r="E178" s="300"/>
      <c r="F178" s="270" t="e">
        <f>F179+F185+F189</f>
        <v>#REF!</v>
      </c>
      <c r="G178" s="271" t="e">
        <f>G179+G185+G189</f>
        <v>#REF!</v>
      </c>
      <c r="H178" s="281" t="e">
        <f>IF(F178&gt;0,G178/F178*100,"")</f>
        <v>#REF!</v>
      </c>
      <c r="I178" s="281" t="e">
        <f>F178/F207</f>
        <v>#REF!</v>
      </c>
      <c r="J178" s="271"/>
      <c r="K178" s="271" t="e">
        <f aca="true" t="shared" si="23" ref="K178:R178">K179+K185+K189</f>
        <v>#REF!</v>
      </c>
      <c r="L178" s="271" t="e">
        <f t="shared" si="23"/>
        <v>#REF!</v>
      </c>
      <c r="M178" s="271" t="e">
        <f t="shared" si="23"/>
        <v>#REF!</v>
      </c>
      <c r="N178" s="271" t="e">
        <f t="shared" si="23"/>
        <v>#REF!</v>
      </c>
      <c r="O178" s="271" t="e">
        <f t="shared" si="23"/>
        <v>#REF!</v>
      </c>
      <c r="P178" s="282" t="e">
        <f t="shared" si="23"/>
        <v>#REF!</v>
      </c>
      <c r="Q178" s="282" t="e">
        <f t="shared" si="23"/>
        <v>#REF!</v>
      </c>
      <c r="R178" s="282" t="e">
        <f t="shared" si="23"/>
        <v>#REF!</v>
      </c>
      <c r="S178" s="282">
        <f>S179+S185+S189+S195</f>
        <v>1483470</v>
      </c>
      <c r="T178" s="282">
        <f>T179+T185+T189+T195</f>
        <v>9807</v>
      </c>
      <c r="U178" s="406">
        <f>U179+U185+U189+U195</f>
        <v>15476</v>
      </c>
      <c r="V178" s="408">
        <f t="shared" si="22"/>
        <v>1477801</v>
      </c>
    </row>
    <row r="179" spans="1:22" s="73" customFormat="1" ht="26.25" customHeight="1">
      <c r="A179" s="371" t="s">
        <v>682</v>
      </c>
      <c r="B179" s="318" t="s">
        <v>452</v>
      </c>
      <c r="C179" s="311"/>
      <c r="D179" s="311" t="s">
        <v>451</v>
      </c>
      <c r="E179" s="312"/>
      <c r="F179" s="317">
        <f>F180+F181+F183</f>
        <v>84355</v>
      </c>
      <c r="G179" s="317" t="e">
        <f>G180+G181+G183+#REF!</f>
        <v>#REF!</v>
      </c>
      <c r="H179" s="315" t="e">
        <f>IF(F179&gt;0,G179/F179*100,"")</f>
        <v>#REF!</v>
      </c>
      <c r="I179" s="315" t="e">
        <f>F179/F207</f>
        <v>#REF!</v>
      </c>
      <c r="J179" s="317"/>
      <c r="K179" s="317" t="e">
        <f>K180+K181+K183+#REF!</f>
        <v>#REF!</v>
      </c>
      <c r="L179" s="317" t="e">
        <f>L180+L181+L183+#REF!</f>
        <v>#REF!</v>
      </c>
      <c r="M179" s="317" t="e">
        <f>#REF!+M180+M181+M183+#REF!+M184</f>
        <v>#REF!</v>
      </c>
      <c r="N179" s="317" t="e">
        <f>#REF!+N180+N181+#REF!+N183+N184</f>
        <v>#REF!</v>
      </c>
      <c r="O179" s="317" t="e">
        <f>#REF!+O180+O181+#REF!+O183+O184</f>
        <v>#REF!</v>
      </c>
      <c r="P179" s="319">
        <f>P180+P181+P183+P184</f>
        <v>67100</v>
      </c>
      <c r="Q179" s="319">
        <f>Q180+Q181+Q183+Q184</f>
        <v>0</v>
      </c>
      <c r="R179" s="319">
        <f>R180+R181+R183+R184</f>
        <v>0</v>
      </c>
      <c r="S179" s="319">
        <f>S180+S181+S182+S183+S184</f>
        <v>103923</v>
      </c>
      <c r="T179" s="319">
        <f>T180+T181+T182+T183+T184</f>
        <v>3550</v>
      </c>
      <c r="U179" s="323">
        <f>U180+U181+U182+U183+U184</f>
        <v>1637</v>
      </c>
      <c r="V179" s="319">
        <f t="shared" si="22"/>
        <v>105836</v>
      </c>
    </row>
    <row r="180" spans="1:22" ht="24" customHeight="1">
      <c r="A180" s="104"/>
      <c r="B180" s="107" t="s">
        <v>512</v>
      </c>
      <c r="C180" s="13"/>
      <c r="D180" s="13"/>
      <c r="E180" s="278" t="s">
        <v>511</v>
      </c>
      <c r="F180" s="192">
        <v>8195</v>
      </c>
      <c r="G180" s="192">
        <v>33775</v>
      </c>
      <c r="H180" s="274">
        <f>IF(F180&gt;0,G180/F180*100,"")</f>
        <v>412.1415497254423</v>
      </c>
      <c r="I180" s="274" t="e">
        <f>F180/F207</f>
        <v>#REF!</v>
      </c>
      <c r="J180" s="192"/>
      <c r="K180" s="192">
        <v>0</v>
      </c>
      <c r="L180" s="192">
        <v>0</v>
      </c>
      <c r="M180" s="192">
        <v>20900</v>
      </c>
      <c r="N180" s="192">
        <v>0</v>
      </c>
      <c r="O180" s="192">
        <v>0</v>
      </c>
      <c r="P180" s="192">
        <v>18000</v>
      </c>
      <c r="Q180" s="192">
        <v>0</v>
      </c>
      <c r="R180" s="192">
        <v>0</v>
      </c>
      <c r="S180" s="192">
        <v>42700</v>
      </c>
      <c r="T180" s="193">
        <v>3300</v>
      </c>
      <c r="U180" s="193"/>
      <c r="V180" s="279">
        <f t="shared" si="22"/>
        <v>46000</v>
      </c>
    </row>
    <row r="181" spans="1:22" ht="24" customHeight="1">
      <c r="A181" s="104"/>
      <c r="B181" s="107" t="s">
        <v>169</v>
      </c>
      <c r="C181" s="13"/>
      <c r="D181" s="13"/>
      <c r="E181" s="278" t="s">
        <v>126</v>
      </c>
      <c r="F181" s="192">
        <v>60000</v>
      </c>
      <c r="G181" s="192">
        <v>66000</v>
      </c>
      <c r="H181" s="274">
        <f>IF(F181&gt;0,G181/F181*100,"")</f>
        <v>110.00000000000001</v>
      </c>
      <c r="I181" s="274" t="e">
        <f>F181/F207</f>
        <v>#REF!</v>
      </c>
      <c r="J181" s="192"/>
      <c r="K181" s="192">
        <v>0</v>
      </c>
      <c r="L181" s="192">
        <v>0</v>
      </c>
      <c r="M181" s="192">
        <v>55000</v>
      </c>
      <c r="N181" s="192">
        <v>0</v>
      </c>
      <c r="O181" s="192">
        <v>0</v>
      </c>
      <c r="P181" s="192">
        <v>49000</v>
      </c>
      <c r="Q181" s="192">
        <v>0</v>
      </c>
      <c r="R181" s="192">
        <v>0</v>
      </c>
      <c r="S181" s="192">
        <v>42685</v>
      </c>
      <c r="T181" s="193">
        <v>0</v>
      </c>
      <c r="U181" s="193">
        <v>1637</v>
      </c>
      <c r="V181" s="279">
        <f t="shared" si="22"/>
        <v>41048</v>
      </c>
    </row>
    <row r="182" spans="1:22" ht="20.25" customHeight="1">
      <c r="A182" s="104"/>
      <c r="B182" s="107" t="s">
        <v>49</v>
      </c>
      <c r="C182" s="13"/>
      <c r="D182" s="13"/>
      <c r="E182" s="278" t="s">
        <v>478</v>
      </c>
      <c r="F182" s="192"/>
      <c r="G182" s="192"/>
      <c r="H182" s="274"/>
      <c r="I182" s="274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>
        <v>2738</v>
      </c>
      <c r="T182" s="193">
        <v>0</v>
      </c>
      <c r="U182" s="193"/>
      <c r="V182" s="279">
        <f t="shared" si="22"/>
        <v>2738</v>
      </c>
    </row>
    <row r="183" spans="1:22" ht="15.75" customHeight="1">
      <c r="A183" s="104"/>
      <c r="B183" s="107" t="s">
        <v>684</v>
      </c>
      <c r="C183" s="13"/>
      <c r="D183" s="13"/>
      <c r="E183" s="278" t="s">
        <v>124</v>
      </c>
      <c r="F183" s="192">
        <v>16160</v>
      </c>
      <c r="G183" s="192">
        <v>16748</v>
      </c>
      <c r="H183" s="274">
        <f>IF(F183&gt;0,G183/F183*100,"")</f>
        <v>103.63861386138613</v>
      </c>
      <c r="I183" s="274" t="e">
        <f>F183/F207</f>
        <v>#REF!</v>
      </c>
      <c r="J183" s="192"/>
      <c r="K183" s="192">
        <v>0</v>
      </c>
      <c r="L183" s="192">
        <v>0</v>
      </c>
      <c r="M183" s="192">
        <v>700</v>
      </c>
      <c r="N183" s="192">
        <v>0</v>
      </c>
      <c r="O183" s="192">
        <v>0</v>
      </c>
      <c r="P183" s="192">
        <v>100</v>
      </c>
      <c r="Q183" s="192">
        <v>0</v>
      </c>
      <c r="R183" s="192">
        <v>0</v>
      </c>
      <c r="S183" s="192">
        <v>800</v>
      </c>
      <c r="T183" s="193">
        <v>0</v>
      </c>
      <c r="U183" s="193"/>
      <c r="V183" s="279">
        <f t="shared" si="22"/>
        <v>800</v>
      </c>
    </row>
    <row r="184" spans="1:22" ht="15" customHeight="1">
      <c r="A184" s="104"/>
      <c r="B184" s="107" t="s">
        <v>708</v>
      </c>
      <c r="C184" s="13"/>
      <c r="D184" s="13"/>
      <c r="E184" s="278" t="s">
        <v>128</v>
      </c>
      <c r="F184" s="192"/>
      <c r="G184" s="192"/>
      <c r="H184" s="274"/>
      <c r="I184" s="274"/>
      <c r="J184" s="192"/>
      <c r="K184" s="192"/>
      <c r="L184" s="192"/>
      <c r="M184" s="192">
        <v>200</v>
      </c>
      <c r="N184" s="192">
        <v>0</v>
      </c>
      <c r="O184" s="192">
        <v>0</v>
      </c>
      <c r="P184" s="192">
        <v>0</v>
      </c>
      <c r="Q184" s="192">
        <v>0</v>
      </c>
      <c r="R184" s="192">
        <v>0</v>
      </c>
      <c r="S184" s="192">
        <v>15000</v>
      </c>
      <c r="T184" s="193">
        <v>250</v>
      </c>
      <c r="U184" s="193"/>
      <c r="V184" s="279">
        <f t="shared" si="22"/>
        <v>15250</v>
      </c>
    </row>
    <row r="185" spans="1:22" s="73" customFormat="1" ht="24.75" customHeight="1">
      <c r="A185" s="371" t="s">
        <v>686</v>
      </c>
      <c r="B185" s="318" t="s">
        <v>143</v>
      </c>
      <c r="C185" s="311"/>
      <c r="D185" s="311" t="s">
        <v>453</v>
      </c>
      <c r="E185" s="312"/>
      <c r="F185" s="317" t="e">
        <f>#REF!+F186+#REF!+F187</f>
        <v>#REF!</v>
      </c>
      <c r="G185" s="317" t="e">
        <f>#REF!+G186+#REF!+G187</f>
        <v>#REF!</v>
      </c>
      <c r="H185" s="315" t="e">
        <f aca="true" t="shared" si="24" ref="H185:H191">IF(F185&gt;0,G185/F185*100,"")</f>
        <v>#REF!</v>
      </c>
      <c r="I185" s="315" t="e">
        <f>F185/F207</f>
        <v>#REF!</v>
      </c>
      <c r="J185" s="317"/>
      <c r="K185" s="317" t="e">
        <f>K186+#REF!+K187</f>
        <v>#REF!</v>
      </c>
      <c r="L185" s="317" t="e">
        <f>L186+#REF!+L187</f>
        <v>#REF!</v>
      </c>
      <c r="M185" s="317" t="e">
        <f>M186+#REF!+M187</f>
        <v>#REF!</v>
      </c>
      <c r="N185" s="317" t="e">
        <f>N186+#REF!+N187</f>
        <v>#REF!</v>
      </c>
      <c r="O185" s="317" t="e">
        <f>O186+#REF!+O187</f>
        <v>#REF!</v>
      </c>
      <c r="P185" s="319">
        <f>P186+P187</f>
        <v>22890</v>
      </c>
      <c r="Q185" s="319">
        <f>Q186+Q187</f>
        <v>0</v>
      </c>
      <c r="R185" s="319">
        <f>R186+R187</f>
        <v>904</v>
      </c>
      <c r="S185" s="319">
        <f>S186+S187+S188</f>
        <v>13817</v>
      </c>
      <c r="T185" s="319">
        <f>T186+T187+T188</f>
        <v>667</v>
      </c>
      <c r="U185" s="319">
        <f>U186+U187+U188</f>
        <v>0</v>
      </c>
      <c r="V185" s="319">
        <f t="shared" si="22"/>
        <v>14484</v>
      </c>
    </row>
    <row r="186" spans="1:22" ht="23.25" customHeight="1">
      <c r="A186" s="104"/>
      <c r="B186" s="107" t="s">
        <v>169</v>
      </c>
      <c r="C186" s="13"/>
      <c r="D186" s="13"/>
      <c r="E186" s="278" t="s">
        <v>126</v>
      </c>
      <c r="F186" s="192">
        <v>19580</v>
      </c>
      <c r="G186" s="192">
        <v>23550</v>
      </c>
      <c r="H186" s="274">
        <f t="shared" si="24"/>
        <v>120.27579162410622</v>
      </c>
      <c r="I186" s="274" t="e">
        <f>F186/F207</f>
        <v>#REF!</v>
      </c>
      <c r="J186" s="192"/>
      <c r="K186" s="192">
        <v>0</v>
      </c>
      <c r="L186" s="192">
        <v>0</v>
      </c>
      <c r="M186" s="192">
        <v>22560</v>
      </c>
      <c r="N186" s="192">
        <v>0</v>
      </c>
      <c r="O186" s="192">
        <v>0</v>
      </c>
      <c r="P186" s="192">
        <v>22740</v>
      </c>
      <c r="Q186" s="192">
        <v>0</v>
      </c>
      <c r="R186" s="192">
        <v>760</v>
      </c>
      <c r="S186" s="192">
        <v>13767</v>
      </c>
      <c r="T186" s="193">
        <v>667</v>
      </c>
      <c r="U186" s="193"/>
      <c r="V186" s="279">
        <f t="shared" si="22"/>
        <v>14434</v>
      </c>
    </row>
    <row r="187" spans="1:22" ht="14.25" customHeight="1">
      <c r="A187" s="104"/>
      <c r="B187" s="107" t="s">
        <v>691</v>
      </c>
      <c r="C187" s="13"/>
      <c r="D187" s="13"/>
      <c r="E187" s="278" t="s">
        <v>127</v>
      </c>
      <c r="F187" s="192">
        <v>1563</v>
      </c>
      <c r="G187" s="192">
        <v>1863</v>
      </c>
      <c r="H187" s="274">
        <f t="shared" si="24"/>
        <v>119.19385796545106</v>
      </c>
      <c r="I187" s="274" t="e">
        <f>F187/F207</f>
        <v>#REF!</v>
      </c>
      <c r="J187" s="192"/>
      <c r="K187" s="192">
        <v>0</v>
      </c>
      <c r="L187" s="192">
        <v>0</v>
      </c>
      <c r="M187" s="192">
        <v>100</v>
      </c>
      <c r="N187" s="192">
        <v>0</v>
      </c>
      <c r="O187" s="192">
        <v>0</v>
      </c>
      <c r="P187" s="192">
        <v>150</v>
      </c>
      <c r="Q187" s="192">
        <v>0</v>
      </c>
      <c r="R187" s="192">
        <v>144</v>
      </c>
      <c r="S187" s="192">
        <v>0</v>
      </c>
      <c r="T187" s="193"/>
      <c r="U187" s="193">
        <v>0</v>
      </c>
      <c r="V187" s="279">
        <f t="shared" si="22"/>
        <v>0</v>
      </c>
    </row>
    <row r="188" spans="1:22" ht="14.25" customHeight="1">
      <c r="A188" s="104"/>
      <c r="B188" s="107" t="s">
        <v>684</v>
      </c>
      <c r="C188" s="13"/>
      <c r="D188" s="13"/>
      <c r="E188" s="278" t="s">
        <v>124</v>
      </c>
      <c r="F188" s="192"/>
      <c r="G188" s="192"/>
      <c r="H188" s="274"/>
      <c r="I188" s="274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>
        <v>50</v>
      </c>
      <c r="T188" s="193">
        <v>0</v>
      </c>
      <c r="U188" s="193"/>
      <c r="V188" s="279">
        <f t="shared" si="22"/>
        <v>50</v>
      </c>
    </row>
    <row r="189" spans="1:22" s="73" customFormat="1" ht="20.25" customHeight="1">
      <c r="A189" s="371" t="s">
        <v>18</v>
      </c>
      <c r="B189" s="318" t="s">
        <v>456</v>
      </c>
      <c r="C189" s="311"/>
      <c r="D189" s="311" t="s">
        <v>455</v>
      </c>
      <c r="E189" s="312"/>
      <c r="F189" s="317">
        <f>F190+F191</f>
        <v>21680</v>
      </c>
      <c r="G189" s="317">
        <f>G190+G191</f>
        <v>17100</v>
      </c>
      <c r="H189" s="315">
        <f t="shared" si="24"/>
        <v>78.87453874538745</v>
      </c>
      <c r="I189" s="315" t="e">
        <f>F189/F207</f>
        <v>#REF!</v>
      </c>
      <c r="J189" s="317"/>
      <c r="K189" s="317">
        <f>K190+K191</f>
        <v>0</v>
      </c>
      <c r="L189" s="317">
        <f>L190+L191</f>
        <v>0</v>
      </c>
      <c r="M189" s="317" t="e">
        <f>M190+M191+#REF!</f>
        <v>#REF!</v>
      </c>
      <c r="N189" s="317" t="e">
        <f>N190+N191+#REF!</f>
        <v>#REF!</v>
      </c>
      <c r="O189" s="317" t="e">
        <f>O190+O191+#REF!</f>
        <v>#REF!</v>
      </c>
      <c r="P189" s="319" t="e">
        <f>P190+P191+#REF!+P192+P193</f>
        <v>#REF!</v>
      </c>
      <c r="Q189" s="319" t="e">
        <f>Q190+Q191+#REF!+Q192+Q193</f>
        <v>#REF!</v>
      </c>
      <c r="R189" s="319" t="e">
        <f>R190+R191+#REF!+R192+R193</f>
        <v>#REF!</v>
      </c>
      <c r="S189" s="319">
        <f>S190+S191+S192+S193+S194</f>
        <v>517197</v>
      </c>
      <c r="T189" s="319">
        <f>T190+T191+T192+T193+T194</f>
        <v>850</v>
      </c>
      <c r="U189" s="323">
        <f>U190+U191+U192+U193+U194</f>
        <v>13839</v>
      </c>
      <c r="V189" s="319">
        <f t="shared" si="22"/>
        <v>504208</v>
      </c>
    </row>
    <row r="190" spans="1:22" ht="23.25" customHeight="1">
      <c r="A190" s="104"/>
      <c r="B190" s="107" t="s">
        <v>690</v>
      </c>
      <c r="C190" s="13"/>
      <c r="D190" s="13"/>
      <c r="E190" s="278" t="s">
        <v>126</v>
      </c>
      <c r="F190" s="192">
        <v>19535</v>
      </c>
      <c r="G190" s="192">
        <v>14800</v>
      </c>
      <c r="H190" s="274">
        <f t="shared" si="24"/>
        <v>75.76145380087024</v>
      </c>
      <c r="I190" s="274" t="e">
        <f>F190/F207</f>
        <v>#REF!</v>
      </c>
      <c r="J190" s="192"/>
      <c r="K190" s="192">
        <v>0</v>
      </c>
      <c r="L190" s="192">
        <v>0</v>
      </c>
      <c r="M190" s="192">
        <v>165726</v>
      </c>
      <c r="N190" s="192">
        <v>0</v>
      </c>
      <c r="O190" s="192">
        <v>0</v>
      </c>
      <c r="P190" s="192">
        <v>187501</v>
      </c>
      <c r="Q190" s="192">
        <v>0</v>
      </c>
      <c r="R190" s="192">
        <v>0</v>
      </c>
      <c r="S190" s="192">
        <v>106146</v>
      </c>
      <c r="T190" s="193">
        <v>800</v>
      </c>
      <c r="U190" s="193">
        <v>12446</v>
      </c>
      <c r="V190" s="279">
        <f t="shared" si="22"/>
        <v>94500</v>
      </c>
    </row>
    <row r="191" spans="1:22" ht="19.5" customHeight="1">
      <c r="A191" s="104"/>
      <c r="B191" s="209" t="s">
        <v>691</v>
      </c>
      <c r="C191" s="13"/>
      <c r="D191" s="13"/>
      <c r="E191" s="278" t="s">
        <v>127</v>
      </c>
      <c r="F191" s="192">
        <v>2145</v>
      </c>
      <c r="G191" s="192">
        <v>2300</v>
      </c>
      <c r="H191" s="274">
        <f t="shared" si="24"/>
        <v>107.22610722610723</v>
      </c>
      <c r="I191" s="274" t="e">
        <f>F191/F207</f>
        <v>#REF!</v>
      </c>
      <c r="J191" s="192"/>
      <c r="K191" s="192">
        <v>0</v>
      </c>
      <c r="L191" s="192">
        <v>0</v>
      </c>
      <c r="M191" s="192">
        <v>92012</v>
      </c>
      <c r="N191" s="192">
        <v>0</v>
      </c>
      <c r="O191" s="192">
        <v>0</v>
      </c>
      <c r="P191" s="192">
        <v>100384</v>
      </c>
      <c r="Q191" s="192">
        <v>0</v>
      </c>
      <c r="R191" s="192">
        <v>0</v>
      </c>
      <c r="S191" s="192">
        <v>92250</v>
      </c>
      <c r="T191" s="193">
        <v>50</v>
      </c>
      <c r="U191" s="193">
        <v>1380</v>
      </c>
      <c r="V191" s="279">
        <f t="shared" si="22"/>
        <v>90920</v>
      </c>
    </row>
    <row r="192" spans="1:22" ht="18" customHeight="1">
      <c r="A192" s="104"/>
      <c r="B192" s="209" t="s">
        <v>684</v>
      </c>
      <c r="C192" s="13"/>
      <c r="D192" s="13"/>
      <c r="E192" s="278" t="s">
        <v>124</v>
      </c>
      <c r="F192" s="192"/>
      <c r="G192" s="192"/>
      <c r="H192" s="274"/>
      <c r="I192" s="274"/>
      <c r="J192" s="192"/>
      <c r="K192" s="192"/>
      <c r="L192" s="192"/>
      <c r="M192" s="192"/>
      <c r="N192" s="192"/>
      <c r="O192" s="192"/>
      <c r="P192" s="192">
        <v>4719</v>
      </c>
      <c r="Q192" s="192">
        <v>0</v>
      </c>
      <c r="R192" s="192">
        <v>0</v>
      </c>
      <c r="S192" s="192">
        <v>100</v>
      </c>
      <c r="T192" s="193"/>
      <c r="U192" s="193">
        <v>13</v>
      </c>
      <c r="V192" s="279">
        <f t="shared" si="22"/>
        <v>87</v>
      </c>
    </row>
    <row r="193" spans="1:22" ht="18.75" customHeight="1">
      <c r="A193" s="104"/>
      <c r="B193" s="209" t="s">
        <v>708</v>
      </c>
      <c r="C193" s="13"/>
      <c r="D193" s="13"/>
      <c r="E193" s="278" t="s">
        <v>128</v>
      </c>
      <c r="F193" s="192"/>
      <c r="G193" s="192"/>
      <c r="H193" s="274"/>
      <c r="I193" s="274"/>
      <c r="J193" s="192"/>
      <c r="K193" s="192"/>
      <c r="L193" s="192"/>
      <c r="M193" s="192"/>
      <c r="N193" s="192"/>
      <c r="O193" s="192"/>
      <c r="P193" s="192">
        <v>51569</v>
      </c>
      <c r="Q193" s="192">
        <v>0</v>
      </c>
      <c r="R193" s="192">
        <v>0</v>
      </c>
      <c r="S193" s="192">
        <v>16874</v>
      </c>
      <c r="T193" s="193">
        <v>0</v>
      </c>
      <c r="U193" s="193"/>
      <c r="V193" s="279">
        <f t="shared" si="22"/>
        <v>16874</v>
      </c>
    </row>
    <row r="194" spans="1:22" s="31" customFormat="1" ht="24" customHeight="1">
      <c r="A194" s="217"/>
      <c r="B194" s="209" t="s">
        <v>596</v>
      </c>
      <c r="C194" s="22"/>
      <c r="D194" s="22"/>
      <c r="E194" s="278" t="s">
        <v>115</v>
      </c>
      <c r="F194" s="194"/>
      <c r="G194" s="194"/>
      <c r="H194" s="294"/>
      <c r="I194" s="294"/>
      <c r="J194" s="194"/>
      <c r="K194" s="194"/>
      <c r="L194" s="194"/>
      <c r="M194" s="194"/>
      <c r="N194" s="194"/>
      <c r="O194" s="194"/>
      <c r="P194" s="296"/>
      <c r="Q194" s="296"/>
      <c r="R194" s="296"/>
      <c r="S194" s="279">
        <v>301827</v>
      </c>
      <c r="T194" s="277"/>
      <c r="U194" s="277">
        <v>0</v>
      </c>
      <c r="V194" s="279">
        <f t="shared" si="22"/>
        <v>301827</v>
      </c>
    </row>
    <row r="195" spans="1:22" ht="24.75" customHeight="1">
      <c r="A195" s="372" t="s">
        <v>20</v>
      </c>
      <c r="B195" s="318" t="s">
        <v>104</v>
      </c>
      <c r="C195" s="320"/>
      <c r="D195" s="320" t="s">
        <v>457</v>
      </c>
      <c r="E195" s="312"/>
      <c r="F195" s="317"/>
      <c r="G195" s="317"/>
      <c r="H195" s="315"/>
      <c r="I195" s="315"/>
      <c r="J195" s="317"/>
      <c r="K195" s="317"/>
      <c r="L195" s="317"/>
      <c r="M195" s="317"/>
      <c r="N195" s="317"/>
      <c r="O195" s="317"/>
      <c r="P195" s="317"/>
      <c r="Q195" s="317"/>
      <c r="R195" s="317"/>
      <c r="S195" s="317">
        <f>S196+S197+S198+S199</f>
        <v>848533</v>
      </c>
      <c r="T195" s="317">
        <f>T196+T197+T198+T199</f>
        <v>4740</v>
      </c>
      <c r="U195" s="317">
        <f>U196+U197+U198+U199</f>
        <v>0</v>
      </c>
      <c r="V195" s="319">
        <f t="shared" si="22"/>
        <v>853273</v>
      </c>
    </row>
    <row r="196" spans="1:22" ht="24.75" customHeight="1">
      <c r="A196" s="489"/>
      <c r="B196" s="209" t="s">
        <v>684</v>
      </c>
      <c r="C196" s="347"/>
      <c r="D196" s="347"/>
      <c r="E196" s="309" t="s">
        <v>124</v>
      </c>
      <c r="F196" s="298"/>
      <c r="G196" s="298"/>
      <c r="H196" s="307"/>
      <c r="I196" s="307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>
        <v>75</v>
      </c>
      <c r="T196" s="299">
        <v>0</v>
      </c>
      <c r="U196" s="299"/>
      <c r="V196" s="407">
        <f>S196+T196-U196</f>
        <v>75</v>
      </c>
    </row>
    <row r="197" spans="1:22" ht="24.75" customHeight="1">
      <c r="A197" s="104"/>
      <c r="B197" s="107" t="s">
        <v>102</v>
      </c>
      <c r="C197" s="347"/>
      <c r="D197" s="347"/>
      <c r="E197" s="309" t="s">
        <v>318</v>
      </c>
      <c r="F197" s="298"/>
      <c r="G197" s="298"/>
      <c r="H197" s="307"/>
      <c r="I197" s="307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>
        <v>311600</v>
      </c>
      <c r="T197" s="299">
        <v>4740</v>
      </c>
      <c r="U197" s="299"/>
      <c r="V197" s="407">
        <f t="shared" si="22"/>
        <v>316340</v>
      </c>
    </row>
    <row r="198" spans="1:22" s="31" customFormat="1" ht="46.5" customHeight="1">
      <c r="A198" s="216"/>
      <c r="B198" s="107" t="s">
        <v>69</v>
      </c>
      <c r="C198" s="44"/>
      <c r="D198" s="44"/>
      <c r="E198" s="276">
        <v>2888</v>
      </c>
      <c r="F198" s="272"/>
      <c r="G198" s="273"/>
      <c r="H198" s="274"/>
      <c r="I198" s="275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>
        <v>365064</v>
      </c>
      <c r="T198" s="193">
        <v>0</v>
      </c>
      <c r="U198" s="193">
        <v>0</v>
      </c>
      <c r="V198" s="279">
        <f t="shared" si="22"/>
        <v>365064</v>
      </c>
    </row>
    <row r="199" spans="1:22" s="31" customFormat="1" ht="44.25" customHeight="1">
      <c r="A199" s="216"/>
      <c r="B199" s="107" t="s">
        <v>69</v>
      </c>
      <c r="C199" s="44"/>
      <c r="D199" s="44"/>
      <c r="E199" s="276">
        <v>2889</v>
      </c>
      <c r="F199" s="272"/>
      <c r="G199" s="273"/>
      <c r="H199" s="274"/>
      <c r="I199" s="275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>
        <v>171794</v>
      </c>
      <c r="T199" s="193">
        <v>0</v>
      </c>
      <c r="U199" s="193">
        <v>0</v>
      </c>
      <c r="V199" s="279">
        <f t="shared" si="22"/>
        <v>171794</v>
      </c>
    </row>
    <row r="200" spans="1:23" s="31" customFormat="1" ht="25.5">
      <c r="A200" s="215" t="s">
        <v>107</v>
      </c>
      <c r="B200" s="200" t="s">
        <v>106</v>
      </c>
      <c r="C200" s="196">
        <v>900</v>
      </c>
      <c r="D200" s="196"/>
      <c r="E200" s="302"/>
      <c r="F200" s="289"/>
      <c r="G200" s="290"/>
      <c r="H200" s="281"/>
      <c r="I200" s="29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>
        <f>S201</f>
        <v>67350</v>
      </c>
      <c r="T200" s="271">
        <f>T201</f>
        <v>0</v>
      </c>
      <c r="U200" s="409">
        <f>U201</f>
        <v>0</v>
      </c>
      <c r="V200" s="282">
        <f t="shared" si="22"/>
        <v>67350</v>
      </c>
      <c r="W200" s="77"/>
    </row>
    <row r="201" spans="1:23" ht="25.5" customHeight="1">
      <c r="A201" s="371" t="s">
        <v>682</v>
      </c>
      <c r="B201" s="318" t="s">
        <v>434</v>
      </c>
      <c r="C201" s="325"/>
      <c r="D201" s="325">
        <v>90011</v>
      </c>
      <c r="E201" s="317"/>
      <c r="F201" s="313"/>
      <c r="G201" s="314"/>
      <c r="H201" s="315"/>
      <c r="I201" s="316"/>
      <c r="J201" s="317"/>
      <c r="K201" s="317"/>
      <c r="L201" s="317"/>
      <c r="M201" s="317"/>
      <c r="N201" s="317"/>
      <c r="O201" s="317"/>
      <c r="P201" s="317"/>
      <c r="Q201" s="317"/>
      <c r="R201" s="317"/>
      <c r="S201" s="317">
        <f>S202+S203</f>
        <v>67350</v>
      </c>
      <c r="T201" s="317">
        <f>T202+T203</f>
        <v>0</v>
      </c>
      <c r="U201" s="405">
        <f>U202+U203</f>
        <v>0</v>
      </c>
      <c r="V201" s="319">
        <f t="shared" si="22"/>
        <v>67350</v>
      </c>
      <c r="W201" s="34"/>
    </row>
    <row r="202" spans="1:23" ht="23.25" customHeight="1">
      <c r="A202" s="216"/>
      <c r="B202" s="107" t="s">
        <v>600</v>
      </c>
      <c r="C202" s="17"/>
      <c r="D202" s="17"/>
      <c r="E202" s="276">
        <v>2440</v>
      </c>
      <c r="F202" s="272"/>
      <c r="G202" s="273"/>
      <c r="H202" s="274"/>
      <c r="I202" s="275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>
        <v>22350</v>
      </c>
      <c r="T202" s="193">
        <v>0</v>
      </c>
      <c r="U202" s="193">
        <v>0</v>
      </c>
      <c r="V202" s="279">
        <f t="shared" si="22"/>
        <v>22350</v>
      </c>
      <c r="W202" s="34"/>
    </row>
    <row r="203" spans="1:36" ht="34.5" customHeight="1">
      <c r="A203" s="217"/>
      <c r="B203" s="107" t="s">
        <v>599</v>
      </c>
      <c r="C203" s="17"/>
      <c r="D203" s="17"/>
      <c r="E203" s="276">
        <v>6260</v>
      </c>
      <c r="F203" s="272"/>
      <c r="G203" s="273"/>
      <c r="H203" s="274"/>
      <c r="I203" s="275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>
        <v>45000</v>
      </c>
      <c r="T203" s="193">
        <v>0</v>
      </c>
      <c r="U203" s="193"/>
      <c r="V203" s="279">
        <f t="shared" si="22"/>
        <v>45000</v>
      </c>
      <c r="W203" s="187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</row>
    <row r="204" spans="1:22" s="31" customFormat="1" ht="23.25" customHeight="1">
      <c r="A204" s="215" t="s">
        <v>734</v>
      </c>
      <c r="B204" s="200" t="s">
        <v>567</v>
      </c>
      <c r="C204" s="196">
        <v>921</v>
      </c>
      <c r="D204" s="188"/>
      <c r="E204" s="302"/>
      <c r="F204" s="289"/>
      <c r="G204" s="290"/>
      <c r="H204" s="281"/>
      <c r="I204" s="29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>
        <f>S206</f>
        <v>0</v>
      </c>
      <c r="T204" s="271">
        <f>T206</f>
        <v>0</v>
      </c>
      <c r="U204" s="409">
        <f>U206</f>
        <v>0</v>
      </c>
      <c r="V204" s="282">
        <f t="shared" si="22"/>
        <v>0</v>
      </c>
    </row>
    <row r="205" spans="1:22" s="223" customFormat="1" ht="23.25" customHeight="1">
      <c r="A205" s="371" t="s">
        <v>682</v>
      </c>
      <c r="B205" s="318" t="s">
        <v>466</v>
      </c>
      <c r="C205" s="325"/>
      <c r="D205" s="327">
        <v>92116</v>
      </c>
      <c r="E205" s="322"/>
      <c r="F205" s="313"/>
      <c r="G205" s="314"/>
      <c r="H205" s="315"/>
      <c r="I205" s="316"/>
      <c r="J205" s="317"/>
      <c r="K205" s="317"/>
      <c r="L205" s="317"/>
      <c r="M205" s="317"/>
      <c r="N205" s="317"/>
      <c r="O205" s="317"/>
      <c r="P205" s="317"/>
      <c r="Q205" s="317"/>
      <c r="R205" s="317"/>
      <c r="S205" s="317">
        <f>S206</f>
        <v>0</v>
      </c>
      <c r="T205" s="317">
        <f>T206</f>
        <v>0</v>
      </c>
      <c r="U205" s="405">
        <f>U206</f>
        <v>0</v>
      </c>
      <c r="V205" s="319">
        <f t="shared" si="22"/>
        <v>0</v>
      </c>
    </row>
    <row r="206" spans="1:22" s="31" customFormat="1" ht="25.5" customHeight="1" thickBot="1">
      <c r="A206" s="228"/>
      <c r="B206" s="107" t="s">
        <v>597</v>
      </c>
      <c r="C206" s="44"/>
      <c r="D206" s="44"/>
      <c r="E206" s="276">
        <v>6630</v>
      </c>
      <c r="F206" s="272"/>
      <c r="G206" s="273"/>
      <c r="H206" s="274"/>
      <c r="I206" s="275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>
        <v>0</v>
      </c>
      <c r="T206" s="193"/>
      <c r="U206" s="193">
        <v>0</v>
      </c>
      <c r="V206" s="279">
        <f t="shared" si="22"/>
        <v>0</v>
      </c>
    </row>
    <row r="207" spans="1:22" ht="18.75" customHeight="1" thickBot="1">
      <c r="A207" s="225"/>
      <c r="B207" s="356" t="s">
        <v>86</v>
      </c>
      <c r="C207" s="357"/>
      <c r="D207" s="357"/>
      <c r="E207" s="357"/>
      <c r="F207" s="358" t="e">
        <f>#REF!+#REF!+#REF!+#REF!+#REF!+#REF!+#REF!+#REF!</f>
        <v>#REF!</v>
      </c>
      <c r="G207" s="359" t="e">
        <f>#REF!+#REF!+#REF!+#REF!+#REF!+#REF!+#REF!+#REF!+#REF!+#REF!+#REF!+#REF!</f>
        <v>#REF!</v>
      </c>
      <c r="H207" s="360" t="e">
        <f>IF(F207&gt;0,G207/F207*100,"")</f>
        <v>#REF!</v>
      </c>
      <c r="I207" s="361" t="e">
        <f>F207/F207</f>
        <v>#REF!</v>
      </c>
      <c r="J207" s="362"/>
      <c r="K207" s="362" t="e">
        <f>#REF!+#REF!+#REF!+#REF!+#REF!+#REF!+#REF!+#REF!+#REF!</f>
        <v>#REF!</v>
      </c>
      <c r="L207" s="362" t="e">
        <f>#REF!+#REF!+#REF!+#REF!+#REF!+#REF!++#REF!+#REF!+#REF!</f>
        <v>#REF!</v>
      </c>
      <c r="M207" s="363" t="e">
        <f>#REF!+#REF!+#REF!+#REF!+#REF!+#REF!+#REF!+#REF!+#REF!+#REF!+#REF!</f>
        <v>#REF!</v>
      </c>
      <c r="N207" s="363" t="e">
        <f>#REF!+#REF!+#REF!+#REF!+#REF!+#REF!+#REF!+#REF!+#REF!+#REF!+#REF!</f>
        <v>#REF!</v>
      </c>
      <c r="O207" s="363" t="e">
        <f>#REF!+#REF!+#REF!+#REF!+#REF!+#REF!+#REF!+#REF!+#REF!+#REF!+#REF!</f>
        <v>#REF!</v>
      </c>
      <c r="P207" s="363" t="e">
        <f>#REF!+#REF!+#REF!+#REF!+#REF!+#REF!+#REF!+#REF!+#REF!+#REF!+#REF!+#REF!</f>
        <v>#REF!</v>
      </c>
      <c r="Q207" s="363" t="e">
        <f>#REF!+#REF!+#REF!+#REF!+#REF!+#REF!+#REF!+#REF!+#REF!+#REF!+#REF!+#REF!</f>
        <v>#REF!</v>
      </c>
      <c r="R207" s="363" t="e">
        <f>#REF!+#REF!+#REF!+#REF!+#REF!+#REF!+#REF!+#REF!+#REF!+#REF!+#REF!+#REF!</f>
        <v>#REF!</v>
      </c>
      <c r="S207" s="363">
        <f>S11+S20+S23+S36+S44+S54+S65+S68+S85+S89+S102+S119+S124+S134+S163+S178+S200+S204</f>
        <v>35680625</v>
      </c>
      <c r="T207" s="363">
        <f>T11+T20+T23+T36+T44+T54+T65+T68+T85+T89+T102+T119+T124+T134+T163+T178+T200+T204</f>
        <v>136391</v>
      </c>
      <c r="U207" s="363">
        <f>U11+U20+U23+U36+U44+U54+U65+U68+U85+U89+U102+U119+U124+U134+U163+U178+U200+U204</f>
        <v>2843856</v>
      </c>
      <c r="V207" s="414">
        <f>S207+T207-U207</f>
        <v>32973160</v>
      </c>
    </row>
    <row r="208" spans="1:22" ht="15.75" customHeight="1">
      <c r="A208" s="226"/>
      <c r="B208" s="595" t="s">
        <v>87</v>
      </c>
      <c r="C208" s="596"/>
      <c r="D208" s="596"/>
      <c r="E208" s="597"/>
      <c r="F208" s="50" t="e">
        <f>#REF!+#REF!+#REF!+#REF!+#REF!+#REF!</f>
        <v>#REF!</v>
      </c>
      <c r="G208" s="127" t="e">
        <f>#REF!+#REF!+#REF!+#REF!+#REF!+#REF!</f>
        <v>#REF!</v>
      </c>
      <c r="H208" s="125" t="e">
        <f>IF(F208&gt;0,G208/F208*100,"")</f>
        <v>#REF!</v>
      </c>
      <c r="I208" s="120" t="e">
        <f>F208/F207</f>
        <v>#REF!</v>
      </c>
      <c r="J208" s="33"/>
      <c r="K208" s="33" t="e">
        <f>#REF!+#REF!+#REF!+#REF!+#REF!+#REF!</f>
        <v>#REF!</v>
      </c>
      <c r="L208" s="33" t="e">
        <f>#REF!+#REF!+#REF!+#REF!+#REF!+#REF!</f>
        <v>#REF!</v>
      </c>
      <c r="M208" s="128" t="e">
        <f>#REF!+#REF!+#REF!+#REF!+#REF!+#REF!+#REF!+#REF!+#REF!</f>
        <v>#REF!</v>
      </c>
      <c r="N208" s="128" t="e">
        <f>#REF!+#REF!+#REF!+#REF!+#REF!+#REF!+#REF!+#REF!+#REF!</f>
        <v>#REF!</v>
      </c>
      <c r="O208" s="128" t="e">
        <f>#REF!+#REF!+#REF!+#REF!+#REF!+#REF!+#REF!+#REF!+#REF!</f>
        <v>#REF!</v>
      </c>
      <c r="P208" s="128" t="e">
        <f>#REF!+#REF!+#REF!+#REF!+#REF!+#REF!+#REF!</f>
        <v>#REF!</v>
      </c>
      <c r="Q208" s="128" t="e">
        <f>#REF!+#REF!+#REF!+#REF!+#REF!+#REF!+#REF!</f>
        <v>#REF!</v>
      </c>
      <c r="R208" s="128" t="e">
        <f>#REF!+#REF!+#REF!+#REF!+#REF!+#REF!+#REF!</f>
        <v>#REF!</v>
      </c>
      <c r="S208" s="128">
        <f>S209+S210+S211+S212+S213</f>
        <v>13913577</v>
      </c>
      <c r="T208" s="128">
        <f>T209+T210+T211+T212+T213</f>
        <v>16469</v>
      </c>
      <c r="U208" s="410">
        <f>U209+U210+U211+U212+U213</f>
        <v>2757961</v>
      </c>
      <c r="V208" s="415">
        <f t="shared" si="22"/>
        <v>11172085</v>
      </c>
    </row>
    <row r="209" spans="1:22" ht="14.25" customHeight="1">
      <c r="A209" s="104"/>
      <c r="B209" s="592" t="s">
        <v>134</v>
      </c>
      <c r="C209" s="593"/>
      <c r="D209" s="593"/>
      <c r="E209" s="594"/>
      <c r="F209" s="4" t="e">
        <f>#REF!+#REF!</f>
        <v>#REF!</v>
      </c>
      <c r="G209" s="75" t="e">
        <f>#REF!+#REF!</f>
        <v>#REF!</v>
      </c>
      <c r="H209" s="74" t="e">
        <f>IF(F209&gt;0,G209/F209*100,"")</f>
        <v>#REF!</v>
      </c>
      <c r="I209" s="5" t="e">
        <f>F209/F207</f>
        <v>#REF!</v>
      </c>
      <c r="J209" s="7"/>
      <c r="K209" s="7" t="e">
        <f>#REF!</f>
        <v>#REF!</v>
      </c>
      <c r="L209" s="7" t="e">
        <f>#REF!</f>
        <v>#REF!</v>
      </c>
      <c r="M209" s="78" t="e">
        <f>#REF!</f>
        <v>#REF!</v>
      </c>
      <c r="N209" s="78" t="e">
        <f>#REF!</f>
        <v>#REF!</v>
      </c>
      <c r="O209" s="78" t="e">
        <f>#REF!</f>
        <v>#REF!</v>
      </c>
      <c r="P209" s="78" t="e">
        <f>#REF!</f>
        <v>#REF!</v>
      </c>
      <c r="Q209" s="78" t="e">
        <f>#REF!</f>
        <v>#REF!</v>
      </c>
      <c r="R209" s="78" t="e">
        <f>#REF!</f>
        <v>#REF!</v>
      </c>
      <c r="S209" s="78">
        <f>S118+S140+S147+S157+S160+S197</f>
        <v>1195133</v>
      </c>
      <c r="T209" s="78">
        <f>T118+T140+T147+T157+T160+T197</f>
        <v>4740</v>
      </c>
      <c r="U209" s="78">
        <f>U118+U140+U147+U157+U160+U197</f>
        <v>0</v>
      </c>
      <c r="V209" s="415">
        <f t="shared" si="22"/>
        <v>1199873</v>
      </c>
    </row>
    <row r="210" spans="1:22" ht="13.5" customHeight="1">
      <c r="A210" s="104"/>
      <c r="B210" s="592" t="s">
        <v>172</v>
      </c>
      <c r="C210" s="593"/>
      <c r="D210" s="593"/>
      <c r="E210" s="594"/>
      <c r="F210" s="4" t="e">
        <f>#REF!</f>
        <v>#REF!</v>
      </c>
      <c r="G210" s="75" t="e">
        <f>#REF!</f>
        <v>#REF!</v>
      </c>
      <c r="H210" s="74" t="e">
        <f>IF(F210&gt;0,G210/F210*100,"")</f>
        <v>#REF!</v>
      </c>
      <c r="I210" s="5" t="e">
        <f>F210/F207</f>
        <v>#REF!</v>
      </c>
      <c r="J210" s="7"/>
      <c r="K210" s="7" t="e">
        <f>#REF!</f>
        <v>#REF!</v>
      </c>
      <c r="L210" s="7" t="e">
        <f>#REF!</f>
        <v>#REF!</v>
      </c>
      <c r="M210" s="78" t="e">
        <f>#REF!</f>
        <v>#REF!</v>
      </c>
      <c r="N210" s="78" t="e">
        <f>#REF!</f>
        <v>#REF!</v>
      </c>
      <c r="O210" s="78" t="e">
        <f>#REF!</f>
        <v>#REF!</v>
      </c>
      <c r="P210" s="78" t="e">
        <f>#REF!</f>
        <v>#REF!</v>
      </c>
      <c r="Q210" s="78" t="e">
        <f>#REF!</f>
        <v>#REF!</v>
      </c>
      <c r="R210" s="78" t="e">
        <f>#REF!</f>
        <v>#REF!</v>
      </c>
      <c r="S210" s="78">
        <f>S13+S43+S46+S48+S51+S56+S64+S67+S72+S84+S133+S139+S149+S152+S156+S161</f>
        <v>3672861</v>
      </c>
      <c r="T210" s="78">
        <f>T13+T43+T46+T48+T51+T56+T64+T67+T72+T84+T133+T139+T149+T152+T156+T161</f>
        <v>0</v>
      </c>
      <c r="U210" s="78">
        <f>U13+U43+U46+U48+U51+U56+U64+U67+U72+U84+U133+U139+U149+U152+U156+U161</f>
        <v>0</v>
      </c>
      <c r="V210" s="415">
        <f t="shared" si="22"/>
        <v>3672861</v>
      </c>
    </row>
    <row r="211" spans="1:22" ht="13.5" customHeight="1">
      <c r="A211" s="104"/>
      <c r="B211" s="599" t="s">
        <v>138</v>
      </c>
      <c r="C211" s="600"/>
      <c r="D211" s="600"/>
      <c r="E211" s="601"/>
      <c r="F211" s="4" t="e">
        <f>#REF!+#REF!+#REF!</f>
        <v>#REF!</v>
      </c>
      <c r="G211" s="75" t="e">
        <f>#REF!+#REF!</f>
        <v>#REF!</v>
      </c>
      <c r="H211" s="74" t="e">
        <f>IF(F211&gt;0,G211/F211*100,"")</f>
        <v>#REF!</v>
      </c>
      <c r="I211" s="5" t="e">
        <f>F211/F207</f>
        <v>#REF!</v>
      </c>
      <c r="J211" s="7"/>
      <c r="K211" s="7" t="e">
        <f>#REF!+#REF!</f>
        <v>#REF!</v>
      </c>
      <c r="L211" s="7" t="e">
        <f>#REF!+#REF!</f>
        <v>#REF!</v>
      </c>
      <c r="M211" s="78" t="e">
        <f>#REF!+#REF!+#REF!+#REF!</f>
        <v>#REF!</v>
      </c>
      <c r="N211" s="78" t="e">
        <f>#REF!+#REF!+#REF!+#REF!</f>
        <v>#REF!</v>
      </c>
      <c r="O211" s="78" t="e">
        <f>#REF!+#REF!+#REF!+#REF!</f>
        <v>#REF!</v>
      </c>
      <c r="P211" s="78" t="e">
        <f>#REF!+#REF!+#REF!</f>
        <v>#REF!</v>
      </c>
      <c r="Q211" s="78" t="e">
        <f>#REF!+#REF!+#REF!</f>
        <v>#REF!</v>
      </c>
      <c r="R211" s="78" t="e">
        <f>#REF!+#REF!+#REF!</f>
        <v>#REF!</v>
      </c>
      <c r="S211" s="78">
        <f>S73+S74+S75+S34+S35+S116+S141+S153+S198+S199+S122+S123+S131+S206</f>
        <v>1911201</v>
      </c>
      <c r="T211" s="78">
        <f>T73+T74+T75+T34+T35+T116+T141+T153+T198+T199+T122+T123+T131+T206</f>
        <v>0</v>
      </c>
      <c r="U211" s="411">
        <f>U73+U74+U75+U34+U35+U116+U141+U153+U198+U199+U122+U123+U131+U206</f>
        <v>25875</v>
      </c>
      <c r="V211" s="78">
        <f>V73+V74+V75+V34+V35+V116+V141+V153+V198+V199+V122+V123+V131+V206</f>
        <v>1885326</v>
      </c>
    </row>
    <row r="212" spans="1:22" ht="16.5" customHeight="1">
      <c r="A212" s="104"/>
      <c r="B212" s="599" t="s">
        <v>535</v>
      </c>
      <c r="C212" s="600"/>
      <c r="D212" s="600"/>
      <c r="E212" s="601"/>
      <c r="F212" s="4"/>
      <c r="G212" s="75"/>
      <c r="H212" s="74"/>
      <c r="I212" s="5"/>
      <c r="J212" s="7"/>
      <c r="K212" s="7"/>
      <c r="L212" s="7"/>
      <c r="M212" s="78"/>
      <c r="N212" s="78"/>
      <c r="O212" s="78"/>
      <c r="P212" s="78"/>
      <c r="Q212" s="78"/>
      <c r="R212" s="78"/>
      <c r="S212" s="78">
        <f>S17+S53+S166+S167+S173+S202+S203</f>
        <v>935859</v>
      </c>
      <c r="T212" s="78">
        <f>T17+T53+T166+T167+T173+T202+T203</f>
        <v>843</v>
      </c>
      <c r="U212" s="78">
        <f>U17+U53+U166+U167+U173+U202+U203</f>
        <v>584</v>
      </c>
      <c r="V212" s="415">
        <f t="shared" si="22"/>
        <v>936118</v>
      </c>
    </row>
    <row r="213" spans="1:22" ht="13.5" customHeight="1" thickBot="1">
      <c r="A213" s="104"/>
      <c r="B213" s="602" t="s">
        <v>139</v>
      </c>
      <c r="C213" s="603"/>
      <c r="D213" s="603"/>
      <c r="E213" s="598"/>
      <c r="F213" s="60"/>
      <c r="G213" s="60"/>
      <c r="H213" s="60"/>
      <c r="I213" s="60"/>
      <c r="J213" s="60"/>
      <c r="K213" s="60"/>
      <c r="L213" s="60"/>
      <c r="M213" s="329" t="e">
        <f>#REF!</f>
        <v>#REF!</v>
      </c>
      <c r="N213" s="329" t="e">
        <f>#REF!</f>
        <v>#REF!</v>
      </c>
      <c r="O213" s="329" t="e">
        <f>#REF!</f>
        <v>#REF!</v>
      </c>
      <c r="P213" s="329" t="e">
        <f>#REF!+#REF!</f>
        <v>#REF!</v>
      </c>
      <c r="Q213" s="329" t="e">
        <f>#REF!+#REF!</f>
        <v>#REF!</v>
      </c>
      <c r="R213" s="329" t="e">
        <f>#REF!+#REF!</f>
        <v>#REF!</v>
      </c>
      <c r="S213" s="329">
        <f>S15+S22+S31+S32+S33+S128+S129+S130+S176+S177+S194</f>
        <v>6198523</v>
      </c>
      <c r="T213" s="329">
        <f>T15+T22+T31+T32+T33+T128+T129+T130+T176+T177+T194</f>
        <v>10886</v>
      </c>
      <c r="U213" s="329">
        <f>U15+U22+U31+U32+U33+U128+U129+U130+U176+U177+U194</f>
        <v>2731502</v>
      </c>
      <c r="V213" s="329">
        <f>V15+V22+V31+V32+V33+V128+V129+V130+V176+V177+V194</f>
        <v>3477907</v>
      </c>
    </row>
    <row r="214" spans="1:23" ht="14.25" customHeight="1" thickBot="1">
      <c r="A214" s="328"/>
      <c r="B214" s="610" t="s">
        <v>108</v>
      </c>
      <c r="C214" s="611"/>
      <c r="D214" s="611"/>
      <c r="E214" s="612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412">
        <f>S19+S25+S26+S27+S28+S29+S30+S38+S39+S40+S41+S42+S50+S58+S59+S60+S61+S62+S70+S71+S87+S88+S99+S104+S105+S106+S107+S109+S110+S111+S112+S113+S114+S121+S126+S127+S136+S137+S138+S143+S144+S145+S146+S151+S155+S159+S165+S169+S170+S171+S172+S175+S180+S181+S182+S183+S184+S186+S187+S188+S190+S191+S192+S193+S196</f>
        <v>4898771</v>
      </c>
      <c r="T214" s="412">
        <f>T19+T25+T26+T27+T28+T29+T30+T38+T39+T40+T41+T42+T50+T58+T59+T60+T61+T62+T70+T71+T87+T88+T99+T104+T105+T106+T107+T109+T110+T111+T112+T113+T114+T121+T126+T127+T136+T137+T138+T143+T144+T145+T146+T151+T155+T159+T165+T169+T170+T171+T172+T175+T180+T181+T182+T183+T184+T186+T187+T188+T190+T191+T192+T193+T196</f>
        <v>81107</v>
      </c>
      <c r="U214" s="412">
        <f>U19+U25+U26+U27+U28+U29+U30+U38+U39+U40+U41+U42+U50+U58+U59+U60+U61+U62+U70+U71+U87+U88+U99+U104+U105+U106+U107+U109+U110+U111+U112+U113+U114+U121+U126+U127+U136+U137+U138+U143+U144+U145+U146+U151+U155+U159+U165+U169+U170+U171+U172+U175+U180+U181+U182+U183+U184+U186+U187+U188+U190+U191+U192+U193+U196</f>
        <v>85895</v>
      </c>
      <c r="V214" s="56">
        <f>V19+V25+V26+V27+V28+V29+V30+V38+V39+V40+V41+V42+V50+V58+V59+V60+V61+V62+V70+V71+V87+V88+V99+V104+V105+V106+V107+V109+V110+V111+V112+V113+V114+V121+V126+V127+V136+V137+V138+V143+V144+V145+V146+V151+V155+V159+V165+V169+V170+V171+V172+V175+V180+V181+V182+V183+V184+V186+V187+V188+V190+V191+V192+V193+V196</f>
        <v>4893983</v>
      </c>
      <c r="W214" s="208"/>
    </row>
    <row r="215" spans="2:23" ht="14.25" customHeight="1">
      <c r="B215" t="s">
        <v>779</v>
      </c>
      <c r="V215" s="208"/>
      <c r="W215" s="208"/>
    </row>
    <row r="216" spans="22:23" ht="14.25" customHeight="1">
      <c r="V216" s="208"/>
      <c r="W216" s="208"/>
    </row>
    <row r="217" spans="4:23" ht="12.75">
      <c r="D217" s="590" t="s">
        <v>795</v>
      </c>
      <c r="E217" s="590"/>
      <c r="F217" s="590"/>
      <c r="G217" s="590"/>
      <c r="H217" s="590"/>
      <c r="I217" s="590"/>
      <c r="J217" s="590"/>
      <c r="K217" s="590"/>
      <c r="L217" s="590"/>
      <c r="M217" s="590"/>
      <c r="N217" s="590"/>
      <c r="O217" s="590"/>
      <c r="P217" s="590"/>
      <c r="Q217" s="590"/>
      <c r="R217" s="590"/>
      <c r="S217" s="590"/>
      <c r="V217" s="208"/>
      <c r="W217" s="208"/>
    </row>
    <row r="218" spans="22:23" ht="12.75">
      <c r="V218" s="208"/>
      <c r="W218" s="208"/>
    </row>
    <row r="219" spans="22:23" ht="12.75">
      <c r="V219" s="208"/>
      <c r="W219" s="208"/>
    </row>
    <row r="220" spans="22:23" ht="12.75">
      <c r="V220" s="208"/>
      <c r="W220" s="208"/>
    </row>
    <row r="221" spans="22:23" ht="12.75">
      <c r="V221" s="208"/>
      <c r="W221" s="208"/>
    </row>
    <row r="222" spans="22:23" ht="12.75">
      <c r="V222" s="208"/>
      <c r="W222" s="208"/>
    </row>
    <row r="223" spans="22:23" ht="12.75">
      <c r="V223" s="208"/>
      <c r="W223" s="208"/>
    </row>
  </sheetData>
  <mergeCells count="29">
    <mergeCell ref="D217:S217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B210:E210"/>
    <mergeCell ref="B209:E209"/>
    <mergeCell ref="B208:E208"/>
    <mergeCell ref="I8:I9"/>
    <mergeCell ref="F7:F9"/>
    <mergeCell ref="G7:G9"/>
    <mergeCell ref="H7:H9"/>
    <mergeCell ref="B214:E214"/>
    <mergeCell ref="B213:E213"/>
    <mergeCell ref="B212:E212"/>
    <mergeCell ref="B211:E211"/>
    <mergeCell ref="V6:V9"/>
    <mergeCell ref="K7:K9"/>
    <mergeCell ref="U6:U9"/>
    <mergeCell ref="C1:V2"/>
    <mergeCell ref="S6:S9"/>
    <mergeCell ref="L7:L9"/>
    <mergeCell ref="N7:N9"/>
    <mergeCell ref="O7:O9"/>
  </mergeCells>
  <printOptions/>
  <pageMargins left="0.7874015748031497" right="0.7874015748031497" top="0.8267716535433072" bottom="0.8267716535433072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2">
      <selection activeCell="C18" sqref="C18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90"/>
      <c r="F1" s="590"/>
      <c r="G1" s="590"/>
      <c r="H1" s="590"/>
      <c r="I1" s="590"/>
      <c r="J1" s="590"/>
      <c r="K1" s="590"/>
    </row>
    <row r="2" spans="3:11" ht="21" customHeight="1">
      <c r="C2" s="771" t="s">
        <v>818</v>
      </c>
      <c r="D2" s="771"/>
      <c r="E2" s="771"/>
      <c r="F2" s="771"/>
      <c r="G2" s="771"/>
      <c r="H2" s="771"/>
      <c r="I2" s="771"/>
      <c r="J2" s="771"/>
      <c r="K2" s="771"/>
    </row>
    <row r="3" spans="3:11" ht="21" customHeight="1">
      <c r="C3" s="530"/>
      <c r="D3" s="530"/>
      <c r="E3" s="530"/>
      <c r="F3" s="530"/>
      <c r="G3" s="530"/>
      <c r="H3" s="530"/>
      <c r="I3" s="530"/>
      <c r="J3" s="530"/>
      <c r="K3" s="530"/>
    </row>
    <row r="4" spans="3:11" ht="12.75">
      <c r="C4" s="771"/>
      <c r="D4" s="771"/>
      <c r="E4" s="771"/>
      <c r="F4" s="771"/>
      <c r="G4" s="771"/>
      <c r="H4" s="771"/>
      <c r="I4" s="771"/>
      <c r="J4" s="771"/>
      <c r="K4" s="771"/>
    </row>
    <row r="5" spans="1:11" ht="28.5" customHeight="1">
      <c r="A5" s="772" t="s">
        <v>790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9" customHeight="1">
      <c r="A7" s="765" t="s">
        <v>781</v>
      </c>
      <c r="B7" s="765" t="s">
        <v>113</v>
      </c>
      <c r="C7" s="760" t="s">
        <v>782</v>
      </c>
      <c r="D7" s="761"/>
      <c r="E7" s="767" t="s">
        <v>558</v>
      </c>
      <c r="F7" s="768"/>
      <c r="G7" s="760" t="s">
        <v>783</v>
      </c>
      <c r="H7" s="761"/>
      <c r="I7" s="531"/>
      <c r="J7" s="531"/>
      <c r="K7" s="764" t="s">
        <v>784</v>
      </c>
    </row>
    <row r="8" spans="1:11" ht="37.5" customHeight="1">
      <c r="A8" s="766"/>
      <c r="B8" s="766"/>
      <c r="C8" s="762"/>
      <c r="D8" s="763"/>
      <c r="E8" s="769"/>
      <c r="F8" s="770"/>
      <c r="G8" s="762"/>
      <c r="H8" s="763"/>
      <c r="I8" s="532"/>
      <c r="J8" s="532"/>
      <c r="K8" s="764"/>
    </row>
    <row r="9" spans="1:11" ht="10.5" customHeight="1">
      <c r="A9" s="535">
        <v>1</v>
      </c>
      <c r="B9" s="535">
        <v>2</v>
      </c>
      <c r="C9" s="536">
        <v>3</v>
      </c>
      <c r="D9" s="537"/>
      <c r="E9" s="538">
        <v>4</v>
      </c>
      <c r="F9" s="539"/>
      <c r="G9" s="540">
        <v>7</v>
      </c>
      <c r="H9" s="540"/>
      <c r="I9" s="540"/>
      <c r="J9" s="540"/>
      <c r="K9" s="541">
        <v>10</v>
      </c>
    </row>
    <row r="10" spans="1:11" ht="36.75" customHeight="1">
      <c r="A10" s="533" t="s">
        <v>573</v>
      </c>
      <c r="B10" s="534" t="s">
        <v>785</v>
      </c>
      <c r="C10" s="533">
        <f aca="true" t="shared" si="0" ref="C10:K10">C11+C12+C13+C14+C15+C16</f>
        <v>39880</v>
      </c>
      <c r="D10" s="533">
        <f t="shared" si="0"/>
        <v>12743</v>
      </c>
      <c r="E10" s="533">
        <f t="shared" si="0"/>
        <v>264367</v>
      </c>
      <c r="F10" s="533">
        <f t="shared" si="0"/>
        <v>213750</v>
      </c>
      <c r="G10" s="533">
        <f t="shared" si="0"/>
        <v>302226</v>
      </c>
      <c r="H10" s="533">
        <f t="shared" si="0"/>
        <v>219384</v>
      </c>
      <c r="I10" s="533">
        <f t="shared" si="0"/>
        <v>0</v>
      </c>
      <c r="J10" s="533">
        <f t="shared" si="0"/>
        <v>0</v>
      </c>
      <c r="K10" s="533">
        <f t="shared" si="0"/>
        <v>2021</v>
      </c>
    </row>
    <row r="11" spans="1:11" ht="25.5">
      <c r="A11" s="19" t="s">
        <v>581</v>
      </c>
      <c r="B11" s="8" t="s">
        <v>786</v>
      </c>
      <c r="C11" s="7">
        <v>6048</v>
      </c>
      <c r="D11" s="7">
        <v>2200</v>
      </c>
      <c r="E11" s="7">
        <v>97000</v>
      </c>
      <c r="F11" s="7">
        <v>99450</v>
      </c>
      <c r="G11" s="7">
        <v>103048</v>
      </c>
      <c r="H11" s="7">
        <v>100550</v>
      </c>
      <c r="I11" s="7"/>
      <c r="J11" s="7"/>
      <c r="K11" s="7">
        <f>C11+E11-G11</f>
        <v>0</v>
      </c>
    </row>
    <row r="12" spans="1:11" ht="31.5" customHeight="1">
      <c r="A12" s="19" t="s">
        <v>582</v>
      </c>
      <c r="B12" s="8" t="s">
        <v>787</v>
      </c>
      <c r="C12" s="7">
        <v>5660</v>
      </c>
      <c r="D12" s="7">
        <v>6009</v>
      </c>
      <c r="E12" s="7">
        <v>92632</v>
      </c>
      <c r="F12" s="7">
        <v>101000</v>
      </c>
      <c r="G12" s="7">
        <v>97292</v>
      </c>
      <c r="H12" s="7">
        <v>101000</v>
      </c>
      <c r="I12" s="7"/>
      <c r="J12" s="7"/>
      <c r="K12" s="7">
        <f>C12+E12-G12</f>
        <v>1000</v>
      </c>
    </row>
    <row r="13" spans="1:11" ht="38.25" customHeight="1">
      <c r="A13" s="19" t="s">
        <v>584</v>
      </c>
      <c r="B13" s="8" t="s">
        <v>788</v>
      </c>
      <c r="C13" s="7">
        <v>5521</v>
      </c>
      <c r="D13" s="7">
        <v>0</v>
      </c>
      <c r="E13" s="7">
        <v>8080</v>
      </c>
      <c r="F13" s="7">
        <v>8100</v>
      </c>
      <c r="G13" s="7">
        <v>12580</v>
      </c>
      <c r="H13" s="7">
        <v>8100</v>
      </c>
      <c r="I13" s="7"/>
      <c r="J13" s="7"/>
      <c r="K13" s="7">
        <f>C13+E13-G13</f>
        <v>1021</v>
      </c>
    </row>
    <row r="14" spans="1:11" ht="23.25" customHeight="1">
      <c r="A14" s="19" t="s">
        <v>586</v>
      </c>
      <c r="B14" s="8" t="s">
        <v>789</v>
      </c>
      <c r="C14" s="7">
        <v>4226</v>
      </c>
      <c r="D14" s="7">
        <v>4534</v>
      </c>
      <c r="E14" s="7">
        <v>25140</v>
      </c>
      <c r="F14" s="7">
        <v>5200</v>
      </c>
      <c r="G14" s="7">
        <v>29366</v>
      </c>
      <c r="H14" s="7">
        <v>9734</v>
      </c>
      <c r="I14" s="7"/>
      <c r="J14" s="7"/>
      <c r="K14" s="7">
        <f>C14+E14-G14</f>
        <v>0</v>
      </c>
    </row>
    <row r="15" spans="1:11" ht="29.25" customHeight="1">
      <c r="A15" s="19" t="s">
        <v>588</v>
      </c>
      <c r="B15" s="8" t="s">
        <v>661</v>
      </c>
      <c r="C15" s="7">
        <v>18425</v>
      </c>
      <c r="D15" s="7"/>
      <c r="E15" s="7">
        <v>30000</v>
      </c>
      <c r="F15" s="7"/>
      <c r="G15" s="7">
        <v>48425</v>
      </c>
      <c r="H15" s="7"/>
      <c r="I15" s="7"/>
      <c r="J15" s="7"/>
      <c r="K15" s="7">
        <f>C15+E15-G15</f>
        <v>0</v>
      </c>
    </row>
    <row r="16" spans="1:11" ht="39" customHeight="1">
      <c r="A16" s="19" t="s">
        <v>621</v>
      </c>
      <c r="B16" s="8" t="s">
        <v>791</v>
      </c>
      <c r="C16" s="7">
        <v>0</v>
      </c>
      <c r="D16" s="7"/>
      <c r="E16" s="7">
        <v>11515</v>
      </c>
      <c r="F16" s="7"/>
      <c r="G16" s="7">
        <v>11515</v>
      </c>
      <c r="H16" s="7"/>
      <c r="I16" s="7"/>
      <c r="J16" s="7"/>
      <c r="K16" s="7"/>
    </row>
    <row r="19" ht="12.75">
      <c r="E19" t="s">
        <v>780</v>
      </c>
    </row>
    <row r="21" ht="12.75">
      <c r="E21" t="s">
        <v>799</v>
      </c>
    </row>
  </sheetData>
  <mergeCells count="10">
    <mergeCell ref="E1:K1"/>
    <mergeCell ref="C2:K2"/>
    <mergeCell ref="C4:K4"/>
    <mergeCell ref="A5:K5"/>
    <mergeCell ref="G7:H8"/>
    <mergeCell ref="K7:K8"/>
    <mergeCell ref="A7:A8"/>
    <mergeCell ref="B7:B8"/>
    <mergeCell ref="C7:D8"/>
    <mergeCell ref="E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4"/>
  <sheetViews>
    <sheetView zoomScaleSheetLayoutView="75" workbookViewId="0" topLeftCell="A1">
      <selection activeCell="O1" sqref="O1:Q1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32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0.12890625" style="0" hidden="1" customWidth="1"/>
    <col min="11" max="11" width="15.37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54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659" t="s">
        <v>810</v>
      </c>
      <c r="P1" s="659"/>
      <c r="Q1" s="659"/>
    </row>
    <row r="2" spans="1:26" s="154" customFormat="1" ht="15.75" thickBot="1">
      <c r="A2"/>
      <c r="B2" s="661" t="s">
        <v>694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247"/>
      <c r="S2" s="247"/>
      <c r="T2" s="247"/>
      <c r="U2" s="247"/>
      <c r="V2" s="660"/>
      <c r="W2" s="660"/>
      <c r="X2" s="660"/>
      <c r="Y2" s="660"/>
      <c r="Z2" s="660"/>
    </row>
    <row r="3" spans="1:17" s="154" customFormat="1" ht="19.5" customHeight="1" hidden="1" thickBot="1">
      <c r="A3"/>
      <c r="B3" s="9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</row>
    <row r="4" spans="1:17" s="154" customFormat="1" ht="10.5" customHeight="1" thickBot="1">
      <c r="A4" s="649" t="s">
        <v>203</v>
      </c>
      <c r="B4" s="647" t="s">
        <v>204</v>
      </c>
      <c r="C4" s="636" t="s">
        <v>205</v>
      </c>
      <c r="D4" s="114"/>
      <c r="E4" s="114"/>
      <c r="F4" s="114"/>
      <c r="G4" s="114"/>
      <c r="H4" s="636" t="s">
        <v>200</v>
      </c>
      <c r="I4" s="653" t="s">
        <v>91</v>
      </c>
      <c r="J4" s="654"/>
      <c r="K4" s="636" t="s">
        <v>65</v>
      </c>
      <c r="L4" s="636" t="s">
        <v>40</v>
      </c>
      <c r="M4" s="642" t="s">
        <v>41</v>
      </c>
      <c r="N4" s="636" t="s">
        <v>39</v>
      </c>
      <c r="O4" s="667" t="s">
        <v>210</v>
      </c>
      <c r="P4" s="668"/>
      <c r="Q4" s="669"/>
    </row>
    <row r="5" spans="1:17" s="154" customFormat="1" ht="9" customHeight="1">
      <c r="A5" s="650"/>
      <c r="B5" s="648"/>
      <c r="C5" s="637"/>
      <c r="D5" s="665" t="s">
        <v>206</v>
      </c>
      <c r="E5" s="663" t="s">
        <v>207</v>
      </c>
      <c r="F5" s="663" t="s">
        <v>208</v>
      </c>
      <c r="G5" s="656" t="s">
        <v>209</v>
      </c>
      <c r="H5" s="637"/>
      <c r="I5" s="640" t="s">
        <v>676</v>
      </c>
      <c r="J5" s="651" t="s">
        <v>677</v>
      </c>
      <c r="K5" s="637"/>
      <c r="L5" s="637"/>
      <c r="M5" s="643"/>
      <c r="N5" s="637"/>
      <c r="O5" s="670"/>
      <c r="P5" s="671"/>
      <c r="Q5" s="672"/>
    </row>
    <row r="6" spans="1:17" s="154" customFormat="1" ht="6.75" customHeight="1" thickBot="1">
      <c r="A6" s="650"/>
      <c r="B6" s="648"/>
      <c r="C6" s="637"/>
      <c r="D6" s="666"/>
      <c r="E6" s="663"/>
      <c r="F6" s="663"/>
      <c r="G6" s="656"/>
      <c r="H6" s="637"/>
      <c r="I6" s="641"/>
      <c r="J6" s="652"/>
      <c r="K6" s="637"/>
      <c r="L6" s="637"/>
      <c r="M6" s="643"/>
      <c r="N6" s="637"/>
      <c r="O6" s="673"/>
      <c r="P6" s="674"/>
      <c r="Q6" s="675"/>
    </row>
    <row r="7" spans="1:17" s="154" customFormat="1" ht="19.5" customHeight="1" thickBot="1">
      <c r="A7" s="650"/>
      <c r="B7" s="648"/>
      <c r="C7" s="637"/>
      <c r="D7" s="640"/>
      <c r="E7" s="664"/>
      <c r="F7" s="664"/>
      <c r="G7" s="657"/>
      <c r="H7" s="637"/>
      <c r="I7" s="641"/>
      <c r="J7" s="652"/>
      <c r="K7" s="638"/>
      <c r="L7" s="638"/>
      <c r="M7" s="644"/>
      <c r="N7" s="638"/>
      <c r="O7" s="126" t="s">
        <v>211</v>
      </c>
      <c r="P7" s="126" t="s">
        <v>710</v>
      </c>
      <c r="Q7" s="126" t="s">
        <v>212</v>
      </c>
    </row>
    <row r="8" spans="1:17" s="154" customFormat="1" ht="12" customHeight="1" thickBot="1">
      <c r="A8" s="98">
        <v>1</v>
      </c>
      <c r="B8" s="99">
        <v>2</v>
      </c>
      <c r="C8" s="100">
        <v>3</v>
      </c>
      <c r="D8" s="100">
        <v>4</v>
      </c>
      <c r="E8" s="100">
        <v>4</v>
      </c>
      <c r="F8" s="100">
        <v>5</v>
      </c>
      <c r="G8" s="100">
        <v>6</v>
      </c>
      <c r="H8" s="100">
        <v>5</v>
      </c>
      <c r="I8" s="100"/>
      <c r="J8" s="100"/>
      <c r="K8" s="119">
        <v>5</v>
      </c>
      <c r="L8" s="119">
        <v>6</v>
      </c>
      <c r="M8" s="119">
        <v>7</v>
      </c>
      <c r="N8" s="119">
        <v>8</v>
      </c>
      <c r="O8" s="55">
        <v>9</v>
      </c>
      <c r="P8" s="100">
        <v>10</v>
      </c>
      <c r="Q8" s="100">
        <v>11</v>
      </c>
    </row>
    <row r="9" spans="1:17" s="154" customFormat="1" ht="15" customHeight="1">
      <c r="A9" s="142" t="s">
        <v>213</v>
      </c>
      <c r="B9" s="658"/>
      <c r="C9" s="143" t="s">
        <v>215</v>
      </c>
      <c r="D9" s="143">
        <f>D10+D27</f>
        <v>303000</v>
      </c>
      <c r="E9" s="143">
        <f>E10+E27</f>
        <v>373400</v>
      </c>
      <c r="F9" s="143">
        <f>F10+F27</f>
        <v>0</v>
      </c>
      <c r="G9" s="143">
        <f>G10+G27</f>
        <v>0</v>
      </c>
      <c r="H9" s="143">
        <f>H10+H27+H25+H29</f>
        <v>91800</v>
      </c>
      <c r="I9" s="143">
        <f>I10+I27+I25+I29</f>
        <v>0</v>
      </c>
      <c r="J9" s="143">
        <f>J10+J27+J25+J29</f>
        <v>0</v>
      </c>
      <c r="K9" s="143">
        <f aca="true" t="shared" si="0" ref="K9:Q9">K27+K29</f>
        <v>31700</v>
      </c>
      <c r="L9" s="143">
        <f t="shared" si="0"/>
        <v>0</v>
      </c>
      <c r="M9" s="143">
        <f t="shared" si="0"/>
        <v>0</v>
      </c>
      <c r="N9" s="143">
        <f t="shared" si="0"/>
        <v>31700</v>
      </c>
      <c r="O9" s="143">
        <f t="shared" si="0"/>
        <v>30000</v>
      </c>
      <c r="P9" s="143">
        <f t="shared" si="0"/>
        <v>0</v>
      </c>
      <c r="Q9" s="143">
        <f t="shared" si="0"/>
        <v>1700</v>
      </c>
    </row>
    <row r="10" spans="1:17" s="154" customFormat="1" ht="17.25" customHeight="1" hidden="1">
      <c r="A10" s="12" t="s">
        <v>216</v>
      </c>
      <c r="B10" s="635"/>
      <c r="C10" s="6" t="s">
        <v>217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4">
        <f>P11+P12+P13+P14+P15+P16+P17+P18+P19+P21+P22+P24</f>
        <v>0</v>
      </c>
      <c r="Q10" s="14">
        <f>Q11+Q12+Q13+Q14+Q15+Q16+Q17+Q18+Q19+Q21+Q22+Q24</f>
        <v>0</v>
      </c>
    </row>
    <row r="11" spans="1:17" s="154" customFormat="1" ht="12" customHeight="1" hidden="1">
      <c r="A11" s="12"/>
      <c r="B11" s="13" t="s">
        <v>218</v>
      </c>
      <c r="C11" s="15" t="s">
        <v>231</v>
      </c>
      <c r="D11" s="15"/>
      <c r="E11" s="15">
        <v>4100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s="154" customFormat="1" ht="14.25" customHeight="1" hidden="1">
      <c r="A12" s="12"/>
      <c r="B12" s="13" t="s">
        <v>232</v>
      </c>
      <c r="C12" s="17" t="s">
        <v>233</v>
      </c>
      <c r="D12" s="15"/>
      <c r="E12" s="15">
        <v>1760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6"/>
      <c r="Q12" s="16"/>
    </row>
    <row r="13" spans="1:17" s="154" customFormat="1" ht="0.75" customHeight="1" hidden="1">
      <c r="A13" s="655"/>
      <c r="B13" s="13" t="s">
        <v>234</v>
      </c>
      <c r="C13" s="8" t="s">
        <v>166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19">
        <v>0</v>
      </c>
      <c r="Q13" s="19">
        <v>0</v>
      </c>
    </row>
    <row r="14" spans="1:17" s="154" customFormat="1" ht="26.25" customHeight="1" hidden="1">
      <c r="A14" s="655"/>
      <c r="B14" s="13" t="s">
        <v>236</v>
      </c>
      <c r="C14" s="8" t="s">
        <v>237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19">
        <v>0</v>
      </c>
      <c r="Q14" s="19">
        <v>0</v>
      </c>
    </row>
    <row r="15" spans="1:17" s="154" customFormat="1" ht="18" customHeight="1" hidden="1">
      <c r="A15" s="655"/>
      <c r="B15" s="13" t="s">
        <v>238</v>
      </c>
      <c r="C15" s="8" t="s">
        <v>239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19">
        <v>0</v>
      </c>
      <c r="Q15" s="19">
        <v>0</v>
      </c>
    </row>
    <row r="16" spans="1:17" s="154" customFormat="1" ht="13.5" customHeight="1" hidden="1">
      <c r="A16" s="655"/>
      <c r="B16" s="20" t="s">
        <v>240</v>
      </c>
      <c r="C16" s="8" t="s">
        <v>241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19">
        <v>0</v>
      </c>
      <c r="Q16" s="19">
        <v>0</v>
      </c>
    </row>
    <row r="17" spans="1:17" s="154" customFormat="1" ht="13.5" customHeight="1" hidden="1">
      <c r="A17" s="655"/>
      <c r="B17" s="20" t="s">
        <v>242</v>
      </c>
      <c r="C17" s="8" t="s">
        <v>243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19">
        <v>0</v>
      </c>
      <c r="Q17" s="19">
        <v>0</v>
      </c>
    </row>
    <row r="18" spans="1:17" s="154" customFormat="1" ht="13.5" customHeight="1" hidden="1">
      <c r="A18" s="655"/>
      <c r="B18" s="20" t="s">
        <v>244</v>
      </c>
      <c r="C18" s="8" t="s">
        <v>245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19">
        <v>0</v>
      </c>
      <c r="Q18" s="19">
        <v>0</v>
      </c>
    </row>
    <row r="19" spans="1:17" s="154" customFormat="1" ht="0.75" customHeight="1" hidden="1">
      <c r="A19" s="655"/>
      <c r="B19" s="20" t="s">
        <v>246</v>
      </c>
      <c r="C19" s="8" t="s">
        <v>247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19">
        <v>0</v>
      </c>
      <c r="Q19" s="19">
        <v>0</v>
      </c>
    </row>
    <row r="20" spans="1:17" s="154" customFormat="1" ht="15" customHeight="1" hidden="1">
      <c r="A20" s="655"/>
      <c r="B20" s="20" t="s">
        <v>248</v>
      </c>
      <c r="C20" s="8" t="s">
        <v>249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19">
        <v>0</v>
      </c>
      <c r="Q20" s="19">
        <v>0</v>
      </c>
    </row>
    <row r="21" spans="1:17" s="154" customFormat="1" ht="15.75" customHeight="1" hidden="1">
      <c r="A21" s="655"/>
      <c r="B21" s="20" t="s">
        <v>250</v>
      </c>
      <c r="C21" s="8" t="s">
        <v>251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19">
        <v>0</v>
      </c>
      <c r="Q21" s="19">
        <v>0</v>
      </c>
    </row>
    <row r="22" spans="1:17" s="154" customFormat="1" ht="16.5" customHeight="1" hidden="1">
      <c r="A22" s="655"/>
      <c r="B22" s="20" t="s">
        <v>252</v>
      </c>
      <c r="C22" s="8" t="s">
        <v>253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19">
        <v>0</v>
      </c>
      <c r="Q22" s="19">
        <v>0</v>
      </c>
    </row>
    <row r="23" spans="1:17" s="154" customFormat="1" ht="16.5" customHeight="1" hidden="1">
      <c r="A23" s="655"/>
      <c r="B23" s="20" t="s">
        <v>254</v>
      </c>
      <c r="C23" s="8" t="s">
        <v>255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19">
        <v>0</v>
      </c>
      <c r="Q23" s="19">
        <v>0</v>
      </c>
    </row>
    <row r="24" spans="1:17" s="154" customFormat="1" ht="16.5" customHeight="1" hidden="1">
      <c r="A24" s="655"/>
      <c r="B24" s="13" t="s">
        <v>256</v>
      </c>
      <c r="C24" s="7" t="s">
        <v>257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19">
        <v>0</v>
      </c>
      <c r="Q24" s="19">
        <v>0</v>
      </c>
    </row>
    <row r="25" spans="1:17" s="154" customFormat="1" ht="27.75" customHeight="1" hidden="1">
      <c r="A25" s="21" t="s">
        <v>116</v>
      </c>
      <c r="B25" s="22"/>
      <c r="C25" s="3" t="s">
        <v>117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54" customFormat="1" ht="18.75" customHeight="1" hidden="1">
      <c r="A26" s="21"/>
      <c r="B26" s="26" t="s">
        <v>244</v>
      </c>
      <c r="C26" s="24" t="s">
        <v>245</v>
      </c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 t="e">
        <f>#REF!</f>
        <v>#REF!</v>
      </c>
      <c r="P26" s="19">
        <v>0</v>
      </c>
      <c r="Q26" s="19">
        <v>0</v>
      </c>
    </row>
    <row r="27" spans="1:17" s="154" customFormat="1" ht="21" customHeight="1">
      <c r="A27" s="169" t="s">
        <v>258</v>
      </c>
      <c r="B27" s="178"/>
      <c r="C27" s="179" t="s">
        <v>659</v>
      </c>
      <c r="D27" s="140">
        <f aca="true" t="shared" si="3" ref="D27:Q27">D28</f>
        <v>0</v>
      </c>
      <c r="E27" s="140">
        <f t="shared" si="3"/>
        <v>37400</v>
      </c>
      <c r="F27" s="140">
        <f t="shared" si="3"/>
        <v>0</v>
      </c>
      <c r="G27" s="140">
        <f t="shared" si="3"/>
        <v>0</v>
      </c>
      <c r="H27" s="140">
        <f t="shared" si="3"/>
        <v>45000</v>
      </c>
      <c r="I27" s="140">
        <f t="shared" si="3"/>
        <v>0</v>
      </c>
      <c r="J27" s="140">
        <f t="shared" si="3"/>
        <v>0</v>
      </c>
      <c r="K27" s="140">
        <f>K28</f>
        <v>30000</v>
      </c>
      <c r="L27" s="140">
        <f>L28</f>
        <v>0</v>
      </c>
      <c r="M27" s="140">
        <f>M28</f>
        <v>0</v>
      </c>
      <c r="N27" s="140">
        <f>N28</f>
        <v>30000</v>
      </c>
      <c r="O27" s="140">
        <f t="shared" si="3"/>
        <v>30000</v>
      </c>
      <c r="P27" s="138">
        <f t="shared" si="3"/>
        <v>0</v>
      </c>
      <c r="Q27" s="138">
        <f t="shared" si="3"/>
        <v>0</v>
      </c>
    </row>
    <row r="28" spans="1:17" s="154" customFormat="1" ht="15.75" customHeight="1">
      <c r="A28" s="18"/>
      <c r="B28" s="13" t="s">
        <v>250</v>
      </c>
      <c r="C28" s="229" t="s">
        <v>251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19">
        <v>0</v>
      </c>
      <c r="Q28" s="19">
        <v>0</v>
      </c>
    </row>
    <row r="29" spans="1:17" s="154" customFormat="1" ht="15.75" customHeight="1">
      <c r="A29" s="169" t="s">
        <v>687</v>
      </c>
      <c r="B29" s="178"/>
      <c r="C29" s="168" t="s">
        <v>309</v>
      </c>
      <c r="D29" s="140"/>
      <c r="E29" s="140"/>
      <c r="F29" s="140"/>
      <c r="G29" s="140"/>
      <c r="H29" s="140">
        <f aca="true" t="shared" si="4" ref="H29:Q29">H30</f>
        <v>1200</v>
      </c>
      <c r="I29" s="140">
        <f t="shared" si="4"/>
        <v>0</v>
      </c>
      <c r="J29" s="140">
        <f t="shared" si="4"/>
        <v>0</v>
      </c>
      <c r="K29" s="140">
        <f>K30</f>
        <v>1700</v>
      </c>
      <c r="L29" s="140">
        <f>L30</f>
        <v>0</v>
      </c>
      <c r="M29" s="140">
        <f>M30</f>
        <v>0</v>
      </c>
      <c r="N29" s="140">
        <f aca="true" t="shared" si="5" ref="N29:N88">K29+L29-M29</f>
        <v>1700</v>
      </c>
      <c r="O29" s="140">
        <f t="shared" si="4"/>
        <v>0</v>
      </c>
      <c r="P29" s="140">
        <f t="shared" si="4"/>
        <v>0</v>
      </c>
      <c r="Q29" s="140">
        <f t="shared" si="4"/>
        <v>1700</v>
      </c>
    </row>
    <row r="30" spans="1:17" s="154" customFormat="1" ht="22.5" customHeight="1">
      <c r="A30" s="18"/>
      <c r="B30" s="13" t="s">
        <v>299</v>
      </c>
      <c r="C30" s="229" t="s">
        <v>161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19">
        <v>0</v>
      </c>
      <c r="Q30" s="19">
        <f>N30</f>
        <v>1700</v>
      </c>
    </row>
    <row r="31" spans="1:17" s="154" customFormat="1" ht="15" customHeight="1">
      <c r="A31" s="144" t="s">
        <v>259</v>
      </c>
      <c r="B31" s="635"/>
      <c r="C31" s="145" t="s">
        <v>260</v>
      </c>
      <c r="D31" s="145">
        <f aca="true" t="shared" si="6" ref="D31:G32">D32</f>
        <v>29992</v>
      </c>
      <c r="E31" s="145">
        <f t="shared" si="6"/>
        <v>21000</v>
      </c>
      <c r="F31" s="145">
        <f t="shared" si="6"/>
        <v>0</v>
      </c>
      <c r="G31" s="145">
        <f t="shared" si="6"/>
        <v>0</v>
      </c>
      <c r="H31" s="145">
        <f aca="true" t="shared" si="7" ref="H31:Q31">H32+H34</f>
        <v>94025</v>
      </c>
      <c r="I31" s="145">
        <f t="shared" si="7"/>
        <v>0</v>
      </c>
      <c r="J31" s="145">
        <f t="shared" si="7"/>
        <v>0</v>
      </c>
      <c r="K31" s="145">
        <f>K32+K34</f>
        <v>154249</v>
      </c>
      <c r="L31" s="145">
        <f>L32+L34</f>
        <v>0</v>
      </c>
      <c r="M31" s="145">
        <f>M32+M34</f>
        <v>1234</v>
      </c>
      <c r="N31" s="145">
        <f t="shared" si="5"/>
        <v>153015</v>
      </c>
      <c r="O31" s="145">
        <f t="shared" si="7"/>
        <v>0</v>
      </c>
      <c r="P31" s="145">
        <f t="shared" si="7"/>
        <v>153015</v>
      </c>
      <c r="Q31" s="145">
        <f t="shared" si="7"/>
        <v>0</v>
      </c>
    </row>
    <row r="32" spans="1:17" s="154" customFormat="1" ht="13.5" customHeight="1">
      <c r="A32" s="12" t="s">
        <v>121</v>
      </c>
      <c r="B32" s="635"/>
      <c r="C32" s="140" t="s">
        <v>120</v>
      </c>
      <c r="D32" s="140">
        <f t="shared" si="6"/>
        <v>29992</v>
      </c>
      <c r="E32" s="140">
        <f t="shared" si="6"/>
        <v>21000</v>
      </c>
      <c r="F32" s="140">
        <f t="shared" si="6"/>
        <v>0</v>
      </c>
      <c r="G32" s="140">
        <f t="shared" si="6"/>
        <v>0</v>
      </c>
      <c r="H32" s="140">
        <f aca="true" t="shared" si="8" ref="H32:P32">H33</f>
        <v>83025</v>
      </c>
      <c r="I32" s="140">
        <f t="shared" si="8"/>
        <v>0</v>
      </c>
      <c r="J32" s="140">
        <f t="shared" si="8"/>
        <v>0</v>
      </c>
      <c r="K32" s="140">
        <f>K33</f>
        <v>141159</v>
      </c>
      <c r="L32" s="140">
        <f>L33</f>
        <v>0</v>
      </c>
      <c r="M32" s="140">
        <f>M33</f>
        <v>1234</v>
      </c>
      <c r="N32" s="140">
        <f t="shared" si="5"/>
        <v>139925</v>
      </c>
      <c r="O32" s="140">
        <f t="shared" si="8"/>
        <v>0</v>
      </c>
      <c r="P32" s="138">
        <f t="shared" si="8"/>
        <v>139925</v>
      </c>
      <c r="Q32" s="138">
        <f>Q33</f>
        <v>0</v>
      </c>
    </row>
    <row r="33" spans="1:17" s="154" customFormat="1" ht="15" customHeight="1">
      <c r="A33" s="23"/>
      <c r="B33" s="13" t="s">
        <v>232</v>
      </c>
      <c r="C33" s="192" t="s">
        <v>302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>
        <v>1234</v>
      </c>
      <c r="N33" s="7">
        <f t="shared" si="5"/>
        <v>139925</v>
      </c>
      <c r="O33" s="7">
        <v>0</v>
      </c>
      <c r="P33" s="19">
        <f>N33</f>
        <v>139925</v>
      </c>
      <c r="Q33" s="19">
        <v>0</v>
      </c>
    </row>
    <row r="34" spans="1:17" s="154" customFormat="1" ht="16.5" customHeight="1">
      <c r="A34" s="167" t="s">
        <v>261</v>
      </c>
      <c r="B34" s="233"/>
      <c r="C34" s="140" t="s">
        <v>262</v>
      </c>
      <c r="D34" s="232"/>
      <c r="E34" s="232"/>
      <c r="F34" s="232"/>
      <c r="G34" s="232"/>
      <c r="H34" s="140">
        <f aca="true" t="shared" si="9" ref="H34:Q34">H36+H35</f>
        <v>11000</v>
      </c>
      <c r="I34" s="140">
        <f t="shared" si="9"/>
        <v>0</v>
      </c>
      <c r="J34" s="140">
        <f t="shared" si="9"/>
        <v>0</v>
      </c>
      <c r="K34" s="140">
        <f>K36+K35</f>
        <v>13090</v>
      </c>
      <c r="L34" s="140">
        <f>L36+L35</f>
        <v>0</v>
      </c>
      <c r="M34" s="140">
        <f>M36+M35</f>
        <v>0</v>
      </c>
      <c r="N34" s="140">
        <f t="shared" si="5"/>
        <v>13090</v>
      </c>
      <c r="O34" s="140">
        <f t="shared" si="9"/>
        <v>0</v>
      </c>
      <c r="P34" s="140">
        <f t="shared" si="9"/>
        <v>13090</v>
      </c>
      <c r="Q34" s="140">
        <f t="shared" si="9"/>
        <v>0</v>
      </c>
    </row>
    <row r="35" spans="1:17" s="154" customFormat="1" ht="13.5" customHeight="1">
      <c r="A35" s="12"/>
      <c r="B35" s="13" t="s">
        <v>244</v>
      </c>
      <c r="C35" s="192" t="s">
        <v>245</v>
      </c>
      <c r="D35" s="15"/>
      <c r="E35" s="15"/>
      <c r="F35" s="15"/>
      <c r="G35" s="15"/>
      <c r="H35" s="15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5">
        <v>0</v>
      </c>
      <c r="P35" s="15">
        <f>K35</f>
        <v>0</v>
      </c>
      <c r="Q35" s="15">
        <v>0</v>
      </c>
    </row>
    <row r="36" spans="1:17" s="154" customFormat="1" ht="14.25" customHeight="1">
      <c r="A36" s="23"/>
      <c r="B36" s="13" t="s">
        <v>250</v>
      </c>
      <c r="C36" s="192" t="s">
        <v>251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13090</v>
      </c>
      <c r="L36" s="7">
        <v>0</v>
      </c>
      <c r="M36" s="7"/>
      <c r="N36" s="7">
        <f t="shared" si="5"/>
        <v>13090</v>
      </c>
      <c r="O36" s="7">
        <v>0</v>
      </c>
      <c r="P36" s="19">
        <f>N36</f>
        <v>13090</v>
      </c>
      <c r="Q36" s="19">
        <v>0</v>
      </c>
    </row>
    <row r="37" spans="1:17" s="154" customFormat="1" ht="17.25" customHeight="1">
      <c r="A37" s="144" t="s">
        <v>263</v>
      </c>
      <c r="B37" s="146"/>
      <c r="C37" s="145" t="s">
        <v>264</v>
      </c>
      <c r="D37" s="145" t="e">
        <f aca="true" t="shared" si="10" ref="D37:P37">D38</f>
        <v>#REF!</v>
      </c>
      <c r="E37" s="145" t="e">
        <f t="shared" si="10"/>
        <v>#REF!</v>
      </c>
      <c r="F37" s="145" t="e">
        <f t="shared" si="10"/>
        <v>#REF!</v>
      </c>
      <c r="G37" s="145" t="e">
        <f t="shared" si="10"/>
        <v>#REF!</v>
      </c>
      <c r="H37" s="145" t="e">
        <f t="shared" si="10"/>
        <v>#REF!</v>
      </c>
      <c r="I37" s="145" t="e">
        <f t="shared" si="10"/>
        <v>#REF!</v>
      </c>
      <c r="J37" s="145" t="e">
        <f t="shared" si="10"/>
        <v>#REF!</v>
      </c>
      <c r="K37" s="145">
        <f>K38</f>
        <v>4361033</v>
      </c>
      <c r="L37" s="145">
        <f>L38</f>
        <v>96779</v>
      </c>
      <c r="M37" s="145">
        <f>M38</f>
        <v>121779</v>
      </c>
      <c r="N37" s="145">
        <f t="shared" si="5"/>
        <v>4336033</v>
      </c>
      <c r="O37" s="145">
        <f t="shared" si="10"/>
        <v>0</v>
      </c>
      <c r="P37" s="147">
        <f t="shared" si="10"/>
        <v>4336033</v>
      </c>
      <c r="Q37" s="147">
        <f>Q38</f>
        <v>0</v>
      </c>
    </row>
    <row r="38" spans="1:17" s="154" customFormat="1" ht="14.25" customHeight="1">
      <c r="A38" s="167" t="s">
        <v>265</v>
      </c>
      <c r="B38" s="233"/>
      <c r="C38" s="140" t="s">
        <v>266</v>
      </c>
      <c r="D38" s="140" t="e">
        <f>D40+D41+D42+D39+#REF!+D55</f>
        <v>#REF!</v>
      </c>
      <c r="E38" s="140" t="e">
        <f>E40+E41+E42+E43+E39+#REF!+E45+E46+E47+E48+E50+E51+E52+E53+#REF!+E54+E55+#REF!</f>
        <v>#REF!</v>
      </c>
      <c r="F38" s="140" t="e">
        <f>F40+F41+F42+F43+F39+#REF!+F45+F46+F47+F48+F50+F51+F52+F53+F54+F55+#REF!+#REF!</f>
        <v>#REF!</v>
      </c>
      <c r="G38" s="140" t="e">
        <f>G40+G41+G42+G43+G39+#REF!+G45+G46+G47+G48+G50+G51+G52+G53+G54+G55+#REF!+#REF!</f>
        <v>#REF!</v>
      </c>
      <c r="H38" s="140" t="e">
        <f>H40+H41+H42+H43+H39+#REF!+H45+H46+H47+H48+H50+H51+H52+H53+H54+H55+#REF!+#REF!+#REF!+#REF!+#REF!</f>
        <v>#REF!</v>
      </c>
      <c r="I38" s="140" t="e">
        <f>I40+I41+I42+I43+I39+#REF!+I45+I46+I47+I48+I50+I51+I52+I53+I54+I55+#REF!+#REF!+#REF!+#REF!+#REF!</f>
        <v>#REF!</v>
      </c>
      <c r="J38" s="140" t="e">
        <f>J40+J41+J42+J43+J39+#REF!+J45+J46+J47+J48+J50+J51+J52+J53+J54+J55+#REF!+#REF!+#REF!+#REF!+#REF!</f>
        <v>#REF!</v>
      </c>
      <c r="K38" s="140">
        <f>SUM(K39:K57)</f>
        <v>4361033</v>
      </c>
      <c r="L38" s="140">
        <f>SUM(L39:L57)</f>
        <v>96779</v>
      </c>
      <c r="M38" s="140">
        <f>SUM(M39:M57)</f>
        <v>121779</v>
      </c>
      <c r="N38" s="140">
        <f t="shared" si="5"/>
        <v>4336033</v>
      </c>
      <c r="O38" s="140">
        <f>O40+O41+O42+O43+O44+O39+O45+O46+O47+O48+O49+O50+O51+O52+O53+O54+O56+O57</f>
        <v>0</v>
      </c>
      <c r="P38" s="140">
        <f>P39+P40+P41+P42+P43+P44+P45+P46+P47+P48+P49+P50+P51+P52+P53+P54+P55+P56+P57</f>
        <v>4336033</v>
      </c>
      <c r="Q38" s="140">
        <f>Q39+Q40+Q41+Q42+Q43+Q44+Q45+Q46+Q47+Q48+Q49+Q50+Q51+Q52+Q53+Q54+Q55+Q56+Q57</f>
        <v>0</v>
      </c>
    </row>
    <row r="39" spans="1:17" s="248" customFormat="1" ht="14.25" customHeight="1">
      <c r="A39" s="18"/>
      <c r="B39" s="13" t="s">
        <v>218</v>
      </c>
      <c r="C39" s="330" t="s">
        <v>270</v>
      </c>
      <c r="D39" s="141">
        <v>1296250</v>
      </c>
      <c r="E39" s="80">
        <v>4000</v>
      </c>
      <c r="F39" s="80">
        <v>0</v>
      </c>
      <c r="G39" s="80">
        <v>0</v>
      </c>
      <c r="H39" s="80">
        <v>6000</v>
      </c>
      <c r="I39" s="141">
        <v>0</v>
      </c>
      <c r="J39" s="141">
        <v>0</v>
      </c>
      <c r="K39" s="141">
        <v>4517</v>
      </c>
      <c r="L39" s="141">
        <v>207</v>
      </c>
      <c r="M39" s="141">
        <v>0</v>
      </c>
      <c r="N39" s="7">
        <f t="shared" si="5"/>
        <v>4724</v>
      </c>
      <c r="O39" s="141">
        <v>0</v>
      </c>
      <c r="P39" s="19">
        <f>N39</f>
        <v>4724</v>
      </c>
      <c r="Q39" s="19">
        <v>0</v>
      </c>
    </row>
    <row r="40" spans="1:17" s="154" customFormat="1" ht="15" customHeight="1">
      <c r="A40" s="18"/>
      <c r="B40" s="13" t="s">
        <v>234</v>
      </c>
      <c r="C40" s="229" t="s">
        <v>235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>
        <v>24639</v>
      </c>
      <c r="N40" s="7">
        <f t="shared" si="5"/>
        <v>340268</v>
      </c>
      <c r="O40" s="7">
        <v>0</v>
      </c>
      <c r="P40" s="19">
        <f aca="true" t="shared" si="11" ref="P40:P57">N40</f>
        <v>340268</v>
      </c>
      <c r="Q40" s="19">
        <v>0</v>
      </c>
    </row>
    <row r="41" spans="1:17" s="154" customFormat="1" ht="15.75" customHeight="1">
      <c r="A41" s="18"/>
      <c r="B41" s="13" t="s">
        <v>238</v>
      </c>
      <c r="C41" s="229" t="s">
        <v>239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19">
        <f t="shared" si="11"/>
        <v>26868</v>
      </c>
      <c r="Q41" s="19">
        <v>0</v>
      </c>
    </row>
    <row r="42" spans="1:17" s="154" customFormat="1" ht="15" customHeight="1">
      <c r="A42" s="18"/>
      <c r="B42" s="20" t="s">
        <v>267</v>
      </c>
      <c r="C42" s="229" t="s">
        <v>268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>
        <v>5941</v>
      </c>
      <c r="N42" s="7">
        <f t="shared" si="5"/>
        <v>61971</v>
      </c>
      <c r="O42" s="7">
        <v>0</v>
      </c>
      <c r="P42" s="19">
        <f t="shared" si="11"/>
        <v>61971</v>
      </c>
      <c r="Q42" s="19">
        <v>0</v>
      </c>
    </row>
    <row r="43" spans="1:17" s="154" customFormat="1" ht="14.25" customHeight="1">
      <c r="A43" s="18"/>
      <c r="B43" s="20" t="s">
        <v>242</v>
      </c>
      <c r="C43" s="229" t="s">
        <v>243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>
        <v>148</v>
      </c>
      <c r="N43" s="7">
        <f t="shared" si="5"/>
        <v>9237</v>
      </c>
      <c r="O43" s="7">
        <v>0</v>
      </c>
      <c r="P43" s="19">
        <f t="shared" si="11"/>
        <v>9237</v>
      </c>
      <c r="Q43" s="19">
        <v>0</v>
      </c>
    </row>
    <row r="44" spans="1:17" s="154" customFormat="1" ht="12.75" customHeight="1">
      <c r="A44" s="18"/>
      <c r="B44" s="20" t="s">
        <v>97</v>
      </c>
      <c r="C44" s="229" t="s">
        <v>109</v>
      </c>
      <c r="D44" s="7"/>
      <c r="E44" s="7"/>
      <c r="F44" s="7"/>
      <c r="G44" s="7"/>
      <c r="H44" s="7"/>
      <c r="I44" s="7"/>
      <c r="J44" s="7"/>
      <c r="K44" s="7">
        <v>22983</v>
      </c>
      <c r="L44" s="7"/>
      <c r="M44" s="7">
        <v>22983</v>
      </c>
      <c r="N44" s="7">
        <f t="shared" si="5"/>
        <v>0</v>
      </c>
      <c r="O44" s="7">
        <v>0</v>
      </c>
      <c r="P44" s="19">
        <f t="shared" si="11"/>
        <v>0</v>
      </c>
      <c r="Q44" s="19">
        <v>0</v>
      </c>
    </row>
    <row r="45" spans="1:17" s="154" customFormat="1" ht="12.75" customHeight="1">
      <c r="A45" s="18"/>
      <c r="B45" s="13" t="s">
        <v>244</v>
      </c>
      <c r="C45" s="229" t="s">
        <v>271</v>
      </c>
      <c r="D45" s="7"/>
      <c r="E45" s="15">
        <v>130378</v>
      </c>
      <c r="F45" s="15">
        <v>40000</v>
      </c>
      <c r="G45" s="15">
        <v>0</v>
      </c>
      <c r="H45" s="15">
        <v>140000</v>
      </c>
      <c r="I45" s="7">
        <v>0</v>
      </c>
      <c r="J45" s="7">
        <v>0</v>
      </c>
      <c r="K45" s="7">
        <v>250733</v>
      </c>
      <c r="L45" s="7">
        <v>21983</v>
      </c>
      <c r="M45" s="7"/>
      <c r="N45" s="7">
        <f t="shared" si="5"/>
        <v>272716</v>
      </c>
      <c r="O45" s="7">
        <v>0</v>
      </c>
      <c r="P45" s="19">
        <f t="shared" si="11"/>
        <v>272716</v>
      </c>
      <c r="Q45" s="19">
        <v>0</v>
      </c>
    </row>
    <row r="46" spans="1:17" s="154" customFormat="1" ht="13.5" customHeight="1">
      <c r="A46" s="18"/>
      <c r="B46" s="13" t="s">
        <v>246</v>
      </c>
      <c r="C46" s="229" t="s">
        <v>247</v>
      </c>
      <c r="D46" s="7"/>
      <c r="E46" s="15">
        <v>33000</v>
      </c>
      <c r="F46" s="15">
        <v>5000</v>
      </c>
      <c r="G46" s="15">
        <v>0</v>
      </c>
      <c r="H46" s="15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19">
        <f t="shared" si="11"/>
        <v>31100</v>
      </c>
      <c r="Q46" s="19">
        <v>0</v>
      </c>
    </row>
    <row r="47" spans="1:17" s="154" customFormat="1" ht="13.5" customHeight="1">
      <c r="A47" s="18"/>
      <c r="B47" s="13" t="s">
        <v>248</v>
      </c>
      <c r="C47" s="229" t="s">
        <v>249</v>
      </c>
      <c r="D47" s="7"/>
      <c r="E47" s="15">
        <v>613990</v>
      </c>
      <c r="F47" s="15">
        <v>0</v>
      </c>
      <c r="G47" s="15">
        <v>500000</v>
      </c>
      <c r="H47" s="15">
        <v>7000</v>
      </c>
      <c r="I47" s="7">
        <v>0</v>
      </c>
      <c r="J47" s="7">
        <v>0</v>
      </c>
      <c r="K47" s="7">
        <v>30000</v>
      </c>
      <c r="L47" s="7"/>
      <c r="M47" s="7">
        <v>0</v>
      </c>
      <c r="N47" s="7">
        <f t="shared" si="5"/>
        <v>30000</v>
      </c>
      <c r="O47" s="7">
        <v>0</v>
      </c>
      <c r="P47" s="19">
        <f t="shared" si="11"/>
        <v>30000</v>
      </c>
      <c r="Q47" s="19">
        <v>0</v>
      </c>
    </row>
    <row r="48" spans="1:17" s="154" customFormat="1" ht="14.25" customHeight="1">
      <c r="A48" s="18"/>
      <c r="B48" s="13" t="s">
        <v>250</v>
      </c>
      <c r="C48" s="229" t="s">
        <v>251</v>
      </c>
      <c r="D48" s="7"/>
      <c r="E48" s="15">
        <v>828700</v>
      </c>
      <c r="F48" s="15">
        <v>0</v>
      </c>
      <c r="G48" s="15">
        <v>142451</v>
      </c>
      <c r="H48" s="15">
        <v>412661</v>
      </c>
      <c r="I48" s="7">
        <v>0</v>
      </c>
      <c r="J48" s="7">
        <v>0</v>
      </c>
      <c r="K48" s="7">
        <v>403724</v>
      </c>
      <c r="L48" s="7">
        <v>58321</v>
      </c>
      <c r="M48" s="7">
        <v>11795</v>
      </c>
      <c r="N48" s="7">
        <f t="shared" si="5"/>
        <v>450250</v>
      </c>
      <c r="O48" s="7">
        <v>0</v>
      </c>
      <c r="P48" s="19">
        <f t="shared" si="11"/>
        <v>450250</v>
      </c>
      <c r="Q48" s="19">
        <v>0</v>
      </c>
    </row>
    <row r="49" spans="1:17" s="154" customFormat="1" ht="14.25" customHeight="1">
      <c r="A49" s="18"/>
      <c r="B49" s="13" t="s">
        <v>110</v>
      </c>
      <c r="C49" s="229" t="s">
        <v>111</v>
      </c>
      <c r="D49" s="7"/>
      <c r="E49" s="15"/>
      <c r="F49" s="15"/>
      <c r="G49" s="15"/>
      <c r="H49" s="15"/>
      <c r="I49" s="7"/>
      <c r="J49" s="7"/>
      <c r="K49" s="7">
        <v>3700</v>
      </c>
      <c r="L49" s="7"/>
      <c r="M49" s="7">
        <v>274</v>
      </c>
      <c r="N49" s="7">
        <f t="shared" si="5"/>
        <v>3426</v>
      </c>
      <c r="O49" s="7">
        <v>0</v>
      </c>
      <c r="P49" s="19">
        <f t="shared" si="11"/>
        <v>3426</v>
      </c>
      <c r="Q49" s="19">
        <v>0</v>
      </c>
    </row>
    <row r="50" spans="1:17" s="154" customFormat="1" ht="14.25" customHeight="1">
      <c r="A50" s="18"/>
      <c r="B50" s="13" t="s">
        <v>252</v>
      </c>
      <c r="C50" s="229" t="s">
        <v>253</v>
      </c>
      <c r="D50" s="7"/>
      <c r="E50" s="15">
        <v>660</v>
      </c>
      <c r="F50" s="15">
        <v>0</v>
      </c>
      <c r="G50" s="15">
        <v>300</v>
      </c>
      <c r="H50" s="15">
        <v>500</v>
      </c>
      <c r="I50" s="7">
        <v>0</v>
      </c>
      <c r="J50" s="7">
        <v>0</v>
      </c>
      <c r="K50" s="7">
        <v>1000</v>
      </c>
      <c r="L50" s="7"/>
      <c r="M50" s="7">
        <v>0</v>
      </c>
      <c r="N50" s="7">
        <f t="shared" si="5"/>
        <v>1000</v>
      </c>
      <c r="O50" s="7">
        <v>0</v>
      </c>
      <c r="P50" s="19">
        <f t="shared" si="11"/>
        <v>1000</v>
      </c>
      <c r="Q50" s="19">
        <v>0</v>
      </c>
    </row>
    <row r="51" spans="1:17" s="154" customFormat="1" ht="13.5" customHeight="1">
      <c r="A51" s="18"/>
      <c r="B51" s="13" t="s">
        <v>254</v>
      </c>
      <c r="C51" s="229" t="s">
        <v>255</v>
      </c>
      <c r="D51" s="7"/>
      <c r="E51" s="15">
        <v>23000</v>
      </c>
      <c r="F51" s="15">
        <v>500</v>
      </c>
      <c r="G51" s="15">
        <v>0</v>
      </c>
      <c r="H51" s="15">
        <v>15412</v>
      </c>
      <c r="I51" s="7">
        <v>0</v>
      </c>
      <c r="J51" s="7">
        <v>0</v>
      </c>
      <c r="K51" s="7">
        <v>900</v>
      </c>
      <c r="L51" s="7"/>
      <c r="M51" s="7">
        <v>71</v>
      </c>
      <c r="N51" s="7">
        <f t="shared" si="5"/>
        <v>829</v>
      </c>
      <c r="O51" s="7">
        <v>0</v>
      </c>
      <c r="P51" s="19">
        <f t="shared" si="11"/>
        <v>829</v>
      </c>
      <c r="Q51" s="19">
        <v>0</v>
      </c>
    </row>
    <row r="52" spans="1:17" s="154" customFormat="1" ht="13.5" customHeight="1">
      <c r="A52" s="18"/>
      <c r="B52" s="13" t="s">
        <v>256</v>
      </c>
      <c r="C52" s="229" t="s">
        <v>257</v>
      </c>
      <c r="D52" s="7"/>
      <c r="E52" s="15">
        <v>14893</v>
      </c>
      <c r="F52" s="15">
        <v>0</v>
      </c>
      <c r="G52" s="15">
        <v>0</v>
      </c>
      <c r="H52" s="15">
        <v>13388</v>
      </c>
      <c r="I52" s="7">
        <v>0</v>
      </c>
      <c r="J52" s="7">
        <v>0</v>
      </c>
      <c r="K52" s="7">
        <v>9935</v>
      </c>
      <c r="L52" s="7">
        <v>765</v>
      </c>
      <c r="M52" s="7">
        <v>0</v>
      </c>
      <c r="N52" s="7">
        <f t="shared" si="5"/>
        <v>10700</v>
      </c>
      <c r="O52" s="7">
        <v>0</v>
      </c>
      <c r="P52" s="19">
        <f t="shared" si="11"/>
        <v>10700</v>
      </c>
      <c r="Q52" s="19">
        <v>0</v>
      </c>
    </row>
    <row r="53" spans="1:17" s="154" customFormat="1" ht="13.5" customHeight="1">
      <c r="A53" s="18"/>
      <c r="B53" s="13" t="s">
        <v>272</v>
      </c>
      <c r="C53" s="229" t="s">
        <v>273</v>
      </c>
      <c r="D53" s="7"/>
      <c r="E53" s="15">
        <v>8147</v>
      </c>
      <c r="F53" s="15">
        <v>0</v>
      </c>
      <c r="G53" s="15">
        <v>0</v>
      </c>
      <c r="H53" s="15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19">
        <f t="shared" si="11"/>
        <v>9222</v>
      </c>
      <c r="Q53" s="19">
        <v>0</v>
      </c>
    </row>
    <row r="54" spans="1:17" s="154" customFormat="1" ht="12.75" customHeight="1">
      <c r="A54" s="18"/>
      <c r="B54" s="13" t="s">
        <v>274</v>
      </c>
      <c r="C54" s="229" t="s">
        <v>275</v>
      </c>
      <c r="D54" s="7"/>
      <c r="E54" s="15">
        <v>132020</v>
      </c>
      <c r="F54" s="15">
        <v>700000</v>
      </c>
      <c r="G54" s="15">
        <v>0</v>
      </c>
      <c r="H54" s="15">
        <v>2525825</v>
      </c>
      <c r="I54" s="7">
        <v>0</v>
      </c>
      <c r="J54" s="7">
        <v>0</v>
      </c>
      <c r="K54" s="7">
        <v>165302</v>
      </c>
      <c r="L54" s="7">
        <v>0</v>
      </c>
      <c r="M54" s="7">
        <v>50000</v>
      </c>
      <c r="N54" s="7">
        <f t="shared" si="5"/>
        <v>115302</v>
      </c>
      <c r="O54" s="7">
        <v>0</v>
      </c>
      <c r="P54" s="19">
        <f t="shared" si="11"/>
        <v>115302</v>
      </c>
      <c r="Q54" s="19">
        <v>0</v>
      </c>
    </row>
    <row r="55" spans="1:17" s="154" customFormat="1" ht="14.25" customHeight="1">
      <c r="A55" s="18"/>
      <c r="B55" s="13" t="s">
        <v>276</v>
      </c>
      <c r="C55" s="229" t="s">
        <v>165</v>
      </c>
      <c r="D55" s="7">
        <v>0</v>
      </c>
      <c r="E55" s="15">
        <v>60000</v>
      </c>
      <c r="F55" s="15">
        <v>0</v>
      </c>
      <c r="G55" s="15">
        <v>3758</v>
      </c>
      <c r="H55" s="15"/>
      <c r="I55" s="7">
        <v>0</v>
      </c>
      <c r="J55" s="7">
        <v>0</v>
      </c>
      <c r="K55" s="7">
        <v>26000</v>
      </c>
      <c r="L55" s="7">
        <v>0</v>
      </c>
      <c r="M55" s="7">
        <v>5928</v>
      </c>
      <c r="N55" s="7">
        <f t="shared" si="5"/>
        <v>20072</v>
      </c>
      <c r="O55" s="7">
        <v>0</v>
      </c>
      <c r="P55" s="19">
        <f t="shared" si="11"/>
        <v>20072</v>
      </c>
      <c r="Q55" s="19">
        <v>0</v>
      </c>
    </row>
    <row r="56" spans="1:17" s="154" customFormat="1" ht="15" customHeight="1">
      <c r="A56" s="18"/>
      <c r="B56" s="13" t="s">
        <v>481</v>
      </c>
      <c r="C56" s="229" t="s">
        <v>554</v>
      </c>
      <c r="D56" s="7"/>
      <c r="E56" s="15"/>
      <c r="F56" s="15"/>
      <c r="G56" s="15"/>
      <c r="H56" s="15"/>
      <c r="I56" s="7"/>
      <c r="J56" s="7"/>
      <c r="K56" s="7">
        <v>1988005</v>
      </c>
      <c r="L56" s="7">
        <v>2026</v>
      </c>
      <c r="M56" s="7"/>
      <c r="N56" s="7">
        <f t="shared" si="5"/>
        <v>1990031</v>
      </c>
      <c r="O56" s="7">
        <v>0</v>
      </c>
      <c r="P56" s="19">
        <f t="shared" si="11"/>
        <v>1990031</v>
      </c>
      <c r="Q56" s="19">
        <v>0</v>
      </c>
    </row>
    <row r="57" spans="1:17" s="154" customFormat="1" ht="18" customHeight="1">
      <c r="A57" s="18"/>
      <c r="B57" s="13" t="s">
        <v>638</v>
      </c>
      <c r="C57" s="229" t="s">
        <v>554</v>
      </c>
      <c r="D57" s="7"/>
      <c r="E57" s="15"/>
      <c r="F57" s="15"/>
      <c r="G57" s="15"/>
      <c r="H57" s="15"/>
      <c r="I57" s="7"/>
      <c r="J57" s="7"/>
      <c r="K57" s="7">
        <v>944840</v>
      </c>
      <c r="L57" s="7">
        <v>13477</v>
      </c>
      <c r="M57" s="7">
        <v>0</v>
      </c>
      <c r="N57" s="7">
        <f t="shared" si="5"/>
        <v>958317</v>
      </c>
      <c r="O57" s="7">
        <v>0</v>
      </c>
      <c r="P57" s="19">
        <f t="shared" si="11"/>
        <v>958317</v>
      </c>
      <c r="Q57" s="19">
        <v>0</v>
      </c>
    </row>
    <row r="58" spans="1:17" s="154" customFormat="1" ht="21.75" customHeight="1">
      <c r="A58" s="144" t="s">
        <v>277</v>
      </c>
      <c r="B58" s="148"/>
      <c r="C58" s="149" t="s">
        <v>278</v>
      </c>
      <c r="D58" s="145">
        <f aca="true" t="shared" si="12" ref="D58:Q58">D59</f>
        <v>15000</v>
      </c>
      <c r="E58" s="145">
        <f t="shared" si="12"/>
        <v>37000</v>
      </c>
      <c r="F58" s="145">
        <f t="shared" si="12"/>
        <v>3693</v>
      </c>
      <c r="G58" s="145">
        <f t="shared" si="12"/>
        <v>3693</v>
      </c>
      <c r="H58" s="145">
        <f aca="true" t="shared" si="13" ref="H58:M58">H59</f>
        <v>87539</v>
      </c>
      <c r="I58" s="145">
        <f t="shared" si="13"/>
        <v>0</v>
      </c>
      <c r="J58" s="145">
        <f t="shared" si="13"/>
        <v>0</v>
      </c>
      <c r="K58" s="145">
        <f t="shared" si="13"/>
        <v>735900</v>
      </c>
      <c r="L58" s="145">
        <f t="shared" si="13"/>
        <v>164</v>
      </c>
      <c r="M58" s="145">
        <f t="shared" si="13"/>
        <v>25418</v>
      </c>
      <c r="N58" s="145">
        <f t="shared" si="5"/>
        <v>710646</v>
      </c>
      <c r="O58" s="145">
        <f t="shared" si="12"/>
        <v>62000</v>
      </c>
      <c r="P58" s="145">
        <f t="shared" si="12"/>
        <v>648646</v>
      </c>
      <c r="Q58" s="147">
        <f t="shared" si="12"/>
        <v>0</v>
      </c>
    </row>
    <row r="59" spans="1:17" s="154" customFormat="1" ht="24.75" customHeight="1">
      <c r="A59" s="167" t="s">
        <v>279</v>
      </c>
      <c r="B59" s="233"/>
      <c r="C59" s="168" t="s">
        <v>280</v>
      </c>
      <c r="D59" s="140">
        <f>D63</f>
        <v>15000</v>
      </c>
      <c r="E59" s="140">
        <f>E63+E61</f>
        <v>37000</v>
      </c>
      <c r="F59" s="140">
        <f>F63+F61</f>
        <v>3693</v>
      </c>
      <c r="G59" s="140">
        <f>G63+G61</f>
        <v>3693</v>
      </c>
      <c r="H59" s="140">
        <f>H61+H63+H64+H66+H67+H60+H65</f>
        <v>87539</v>
      </c>
      <c r="I59" s="140">
        <f>I61+I63+I64+I66+I67+I60+I65</f>
        <v>0</v>
      </c>
      <c r="J59" s="140">
        <f>J61+J63+J64+J66+J67+J60+J65</f>
        <v>0</v>
      </c>
      <c r="K59" s="140">
        <f>SUM(K60:K70)</f>
        <v>735900</v>
      </c>
      <c r="L59" s="140">
        <f>SUM(L60:L70)</f>
        <v>164</v>
      </c>
      <c r="M59" s="140">
        <f>SUM(M60:M70)</f>
        <v>25418</v>
      </c>
      <c r="N59" s="140">
        <f t="shared" si="5"/>
        <v>710646</v>
      </c>
      <c r="O59" s="140">
        <f>O60+O61+O63+O64+O65+O66+O67+O68+O69</f>
        <v>62000</v>
      </c>
      <c r="P59" s="140">
        <f>P60+P61+P62+P63+P64+P65+P66+P67+P69+P70</f>
        <v>648646</v>
      </c>
      <c r="Q59" s="140">
        <f>Q61+Q63+Q64+Q66+Q67+Q65</f>
        <v>0</v>
      </c>
    </row>
    <row r="60" spans="1:17" s="154" customFormat="1" ht="13.5" customHeight="1">
      <c r="A60" s="12"/>
      <c r="B60" s="13" t="s">
        <v>97</v>
      </c>
      <c r="C60" s="229" t="s">
        <v>627</v>
      </c>
      <c r="D60" s="15"/>
      <c r="E60" s="15"/>
      <c r="F60" s="15"/>
      <c r="G60" s="15"/>
      <c r="H60" s="15">
        <v>3005</v>
      </c>
      <c r="I60" s="15">
        <v>0</v>
      </c>
      <c r="J60" s="15">
        <v>0</v>
      </c>
      <c r="K60" s="15">
        <v>0</v>
      </c>
      <c r="L60" s="15"/>
      <c r="M60" s="15">
        <v>0</v>
      </c>
      <c r="N60" s="7">
        <f t="shared" si="5"/>
        <v>0</v>
      </c>
      <c r="O60" s="15">
        <v>0</v>
      </c>
      <c r="P60" s="15">
        <f>N60-O60</f>
        <v>0</v>
      </c>
      <c r="Q60" s="6">
        <v>0</v>
      </c>
    </row>
    <row r="61" spans="1:17" s="154" customFormat="1" ht="14.25" customHeight="1">
      <c r="A61" s="12"/>
      <c r="B61" s="13" t="s">
        <v>246</v>
      </c>
      <c r="C61" s="229" t="s">
        <v>247</v>
      </c>
      <c r="D61" s="15"/>
      <c r="E61" s="15">
        <v>20000</v>
      </c>
      <c r="F61" s="15">
        <v>3693</v>
      </c>
      <c r="G61" s="15">
        <v>0</v>
      </c>
      <c r="H61" s="15">
        <v>10601</v>
      </c>
      <c r="I61" s="15">
        <v>0</v>
      </c>
      <c r="J61" s="15">
        <v>0</v>
      </c>
      <c r="K61" s="7">
        <v>3930</v>
      </c>
      <c r="L61" s="7">
        <v>163</v>
      </c>
      <c r="M61" s="15"/>
      <c r="N61" s="7">
        <f t="shared" si="5"/>
        <v>4093</v>
      </c>
      <c r="O61" s="15">
        <f>N61</f>
        <v>4093</v>
      </c>
      <c r="P61" s="15">
        <f>N61-O61</f>
        <v>0</v>
      </c>
      <c r="Q61" s="16">
        <v>0</v>
      </c>
    </row>
    <row r="62" spans="1:17" s="154" customFormat="1" ht="13.5" customHeight="1">
      <c r="A62" s="12"/>
      <c r="B62" s="13" t="s">
        <v>248</v>
      </c>
      <c r="C62" s="229" t="s">
        <v>351</v>
      </c>
      <c r="D62" s="15"/>
      <c r="E62" s="15"/>
      <c r="F62" s="15"/>
      <c r="G62" s="15"/>
      <c r="H62" s="15"/>
      <c r="I62" s="15"/>
      <c r="J62" s="15"/>
      <c r="K62" s="7">
        <v>0</v>
      </c>
      <c r="L62" s="7">
        <v>0</v>
      </c>
      <c r="M62" s="15">
        <v>0</v>
      </c>
      <c r="N62" s="7">
        <f t="shared" si="5"/>
        <v>0</v>
      </c>
      <c r="O62" s="15">
        <v>0</v>
      </c>
      <c r="P62" s="15">
        <f aca="true" t="shared" si="14" ref="P62:P70">N62-O62</f>
        <v>0</v>
      </c>
      <c r="Q62" s="16"/>
    </row>
    <row r="63" spans="1:17" s="154" customFormat="1" ht="13.5" customHeight="1">
      <c r="A63" s="23"/>
      <c r="B63" s="13" t="s">
        <v>250</v>
      </c>
      <c r="C63" s="229" t="s">
        <v>251</v>
      </c>
      <c r="D63" s="7">
        <v>15000</v>
      </c>
      <c r="E63" s="15">
        <v>17000</v>
      </c>
      <c r="F63" s="15">
        <v>0</v>
      </c>
      <c r="G63" s="15">
        <v>3693</v>
      </c>
      <c r="H63" s="15">
        <v>65521</v>
      </c>
      <c r="I63" s="15">
        <v>0</v>
      </c>
      <c r="J63" s="15">
        <v>0</v>
      </c>
      <c r="K63" s="7">
        <v>58190</v>
      </c>
      <c r="L63" s="7">
        <v>0</v>
      </c>
      <c r="M63" s="15">
        <v>3728</v>
      </c>
      <c r="N63" s="7">
        <f t="shared" si="5"/>
        <v>54462</v>
      </c>
      <c r="O63" s="15">
        <v>43909</v>
      </c>
      <c r="P63" s="15">
        <v>10553</v>
      </c>
      <c r="Q63" s="19">
        <v>0</v>
      </c>
    </row>
    <row r="64" spans="1:17" s="154" customFormat="1" ht="14.25" customHeight="1">
      <c r="A64" s="23"/>
      <c r="B64" s="13" t="s">
        <v>254</v>
      </c>
      <c r="C64" s="229" t="s">
        <v>255</v>
      </c>
      <c r="D64" s="7"/>
      <c r="E64" s="15"/>
      <c r="F64" s="15"/>
      <c r="G64" s="15"/>
      <c r="H64" s="15">
        <v>1357</v>
      </c>
      <c r="I64" s="15">
        <v>0</v>
      </c>
      <c r="J64" s="15">
        <v>0</v>
      </c>
      <c r="K64" s="7">
        <v>57683</v>
      </c>
      <c r="L64" s="7"/>
      <c r="M64" s="15">
        <v>0</v>
      </c>
      <c r="N64" s="7">
        <f t="shared" si="5"/>
        <v>57683</v>
      </c>
      <c r="O64" s="15">
        <v>0</v>
      </c>
      <c r="P64" s="15">
        <f t="shared" si="14"/>
        <v>57683</v>
      </c>
      <c r="Q64" s="19">
        <v>0</v>
      </c>
    </row>
    <row r="65" spans="1:17" s="154" customFormat="1" ht="13.5" customHeight="1">
      <c r="A65" s="23"/>
      <c r="B65" s="13" t="s">
        <v>272</v>
      </c>
      <c r="C65" s="229" t="s">
        <v>273</v>
      </c>
      <c r="D65" s="7"/>
      <c r="E65" s="15"/>
      <c r="F65" s="15"/>
      <c r="G65" s="15"/>
      <c r="H65" s="15">
        <v>55</v>
      </c>
      <c r="I65" s="15">
        <v>0</v>
      </c>
      <c r="J65" s="15">
        <v>0</v>
      </c>
      <c r="K65" s="7">
        <v>3165</v>
      </c>
      <c r="L65" s="7">
        <v>0</v>
      </c>
      <c r="M65" s="15">
        <v>0</v>
      </c>
      <c r="N65" s="7">
        <f t="shared" si="5"/>
        <v>3165</v>
      </c>
      <c r="O65" s="15">
        <v>2638</v>
      </c>
      <c r="P65" s="15">
        <v>527</v>
      </c>
      <c r="Q65" s="19"/>
    </row>
    <row r="66" spans="1:17" s="154" customFormat="1" ht="12" customHeight="1">
      <c r="A66" s="23"/>
      <c r="B66" s="13" t="s">
        <v>313</v>
      </c>
      <c r="C66" s="229" t="s">
        <v>336</v>
      </c>
      <c r="D66" s="7"/>
      <c r="E66" s="15"/>
      <c r="F66" s="15"/>
      <c r="G66" s="15"/>
      <c r="H66" s="15">
        <v>213</v>
      </c>
      <c r="I66" s="15">
        <v>0</v>
      </c>
      <c r="J66" s="15">
        <v>0</v>
      </c>
      <c r="K66" s="7">
        <v>4099</v>
      </c>
      <c r="L66" s="7"/>
      <c r="M66" s="15">
        <v>0</v>
      </c>
      <c r="N66" s="7">
        <f t="shared" si="5"/>
        <v>4099</v>
      </c>
      <c r="O66" s="15">
        <v>4099</v>
      </c>
      <c r="P66" s="15">
        <f t="shared" si="14"/>
        <v>0</v>
      </c>
      <c r="Q66" s="19">
        <v>0</v>
      </c>
    </row>
    <row r="67" spans="1:17" s="154" customFormat="1" ht="14.25" customHeight="1">
      <c r="A67" s="23"/>
      <c r="B67" s="13" t="s">
        <v>355</v>
      </c>
      <c r="C67" s="229" t="s">
        <v>634</v>
      </c>
      <c r="D67" s="7"/>
      <c r="E67" s="15"/>
      <c r="F67" s="15"/>
      <c r="G67" s="15"/>
      <c r="H67" s="15">
        <v>6787</v>
      </c>
      <c r="I67" s="15">
        <v>0</v>
      </c>
      <c r="J67" s="15">
        <v>0</v>
      </c>
      <c r="K67" s="7">
        <v>17526</v>
      </c>
      <c r="L67" s="7">
        <v>1</v>
      </c>
      <c r="M67" s="15">
        <v>0</v>
      </c>
      <c r="N67" s="7">
        <f t="shared" si="5"/>
        <v>17527</v>
      </c>
      <c r="O67" s="15">
        <v>175</v>
      </c>
      <c r="P67" s="15">
        <v>17352</v>
      </c>
      <c r="Q67" s="19">
        <v>0</v>
      </c>
    </row>
    <row r="68" spans="1:17" s="154" customFormat="1" ht="34.5" customHeight="1">
      <c r="A68" s="23"/>
      <c r="B68" s="13" t="s">
        <v>778</v>
      </c>
      <c r="C68" s="229" t="s">
        <v>181</v>
      </c>
      <c r="D68" s="7"/>
      <c r="E68" s="15"/>
      <c r="F68" s="15"/>
      <c r="G68" s="15"/>
      <c r="H68" s="15"/>
      <c r="I68" s="15"/>
      <c r="J68" s="15"/>
      <c r="K68" s="7">
        <v>1182</v>
      </c>
      <c r="L68" s="7">
        <v>0</v>
      </c>
      <c r="M68" s="15"/>
      <c r="N68" s="7">
        <f t="shared" si="5"/>
        <v>1182</v>
      </c>
      <c r="O68" s="15">
        <v>1182</v>
      </c>
      <c r="P68" s="15"/>
      <c r="Q68" s="19"/>
    </row>
    <row r="69" spans="1:17" s="154" customFormat="1" ht="34.5" customHeight="1">
      <c r="A69" s="23"/>
      <c r="B69" s="13" t="s">
        <v>180</v>
      </c>
      <c r="C69" s="229" t="s">
        <v>181</v>
      </c>
      <c r="D69" s="7"/>
      <c r="E69" s="15"/>
      <c r="F69" s="15"/>
      <c r="G69" s="15"/>
      <c r="H69" s="15"/>
      <c r="I69" s="15"/>
      <c r="J69" s="15"/>
      <c r="K69" s="7">
        <v>5904</v>
      </c>
      <c r="L69" s="7">
        <v>0</v>
      </c>
      <c r="M69" s="15"/>
      <c r="N69" s="7">
        <f t="shared" si="5"/>
        <v>5904</v>
      </c>
      <c r="O69" s="15">
        <v>5904</v>
      </c>
      <c r="P69" s="15">
        <v>0</v>
      </c>
      <c r="Q69" s="19"/>
    </row>
    <row r="70" spans="1:17" s="154" customFormat="1" ht="14.25" customHeight="1">
      <c r="A70" s="23"/>
      <c r="B70" s="13" t="s">
        <v>274</v>
      </c>
      <c r="C70" s="229" t="s">
        <v>275</v>
      </c>
      <c r="D70" s="7"/>
      <c r="E70" s="15"/>
      <c r="F70" s="15"/>
      <c r="G70" s="15"/>
      <c r="H70" s="15"/>
      <c r="I70" s="15"/>
      <c r="J70" s="15"/>
      <c r="K70" s="7">
        <v>584221</v>
      </c>
      <c r="L70" s="7">
        <v>0</v>
      </c>
      <c r="M70" s="15">
        <v>21690</v>
      </c>
      <c r="N70" s="7">
        <f t="shared" si="5"/>
        <v>562531</v>
      </c>
      <c r="O70" s="15">
        <v>0</v>
      </c>
      <c r="P70" s="15">
        <f t="shared" si="14"/>
        <v>562531</v>
      </c>
      <c r="Q70" s="19"/>
    </row>
    <row r="71" spans="1:17" s="154" customFormat="1" ht="15" customHeight="1">
      <c r="A71" s="144" t="s">
        <v>282</v>
      </c>
      <c r="B71" s="148"/>
      <c r="C71" s="150" t="s">
        <v>283</v>
      </c>
      <c r="D71" s="145" t="e">
        <f aca="true" t="shared" si="15" ref="D71:Q71">D72+D75+D77</f>
        <v>#REF!</v>
      </c>
      <c r="E71" s="145" t="e">
        <f t="shared" si="15"/>
        <v>#REF!</v>
      </c>
      <c r="F71" s="145" t="e">
        <f t="shared" si="15"/>
        <v>#REF!</v>
      </c>
      <c r="G71" s="145" t="e">
        <f t="shared" si="15"/>
        <v>#REF!</v>
      </c>
      <c r="H71" s="145" t="e">
        <f aca="true" t="shared" si="16" ref="H71:M71">H72+H75+H77</f>
        <v>#REF!</v>
      </c>
      <c r="I71" s="145" t="e">
        <f t="shared" si="16"/>
        <v>#REF!</v>
      </c>
      <c r="J71" s="145" t="e">
        <f t="shared" si="16"/>
        <v>#REF!</v>
      </c>
      <c r="K71" s="145">
        <f t="shared" si="16"/>
        <v>271278</v>
      </c>
      <c r="L71" s="145">
        <f t="shared" si="16"/>
        <v>233</v>
      </c>
      <c r="M71" s="145">
        <f t="shared" si="16"/>
        <v>233</v>
      </c>
      <c r="N71" s="145">
        <f t="shared" si="5"/>
        <v>271278</v>
      </c>
      <c r="O71" s="145">
        <f t="shared" si="15"/>
        <v>271278</v>
      </c>
      <c r="P71" s="147">
        <f t="shared" si="15"/>
        <v>0</v>
      </c>
      <c r="Q71" s="147">
        <f t="shared" si="15"/>
        <v>0</v>
      </c>
    </row>
    <row r="72" spans="1:17" s="154" customFormat="1" ht="23.25" customHeight="1">
      <c r="A72" s="167" t="s">
        <v>284</v>
      </c>
      <c r="B72" s="178"/>
      <c r="C72" s="168" t="s">
        <v>288</v>
      </c>
      <c r="D72" s="140">
        <f aca="true" t="shared" si="17" ref="D72:Q72">D74</f>
        <v>79900</v>
      </c>
      <c r="E72" s="140">
        <f t="shared" si="17"/>
        <v>52100</v>
      </c>
      <c r="F72" s="140">
        <f t="shared" si="17"/>
        <v>0</v>
      </c>
      <c r="G72" s="140">
        <f t="shared" si="17"/>
        <v>0</v>
      </c>
      <c r="H72" s="140">
        <f t="shared" si="17"/>
        <v>52000</v>
      </c>
      <c r="I72" s="140">
        <f t="shared" si="17"/>
        <v>0</v>
      </c>
      <c r="J72" s="140">
        <f t="shared" si="17"/>
        <v>0</v>
      </c>
      <c r="K72" s="140">
        <f>K73+K74</f>
        <v>40000</v>
      </c>
      <c r="L72" s="140">
        <f>L73+L74</f>
        <v>0</v>
      </c>
      <c r="M72" s="140">
        <f>M73+M74</f>
        <v>0</v>
      </c>
      <c r="N72" s="140">
        <f t="shared" si="5"/>
        <v>40000</v>
      </c>
      <c r="O72" s="140">
        <f>O73+O74</f>
        <v>40000</v>
      </c>
      <c r="P72" s="138">
        <f t="shared" si="17"/>
        <v>0</v>
      </c>
      <c r="Q72" s="138">
        <f t="shared" si="17"/>
        <v>0</v>
      </c>
    </row>
    <row r="73" spans="1:17" s="154" customFormat="1" ht="12.75" customHeight="1">
      <c r="A73" s="230"/>
      <c r="B73" s="417" t="s">
        <v>97</v>
      </c>
      <c r="C73" s="229" t="s">
        <v>627</v>
      </c>
      <c r="D73" s="231"/>
      <c r="E73" s="231"/>
      <c r="F73" s="231"/>
      <c r="G73" s="231"/>
      <c r="H73" s="231"/>
      <c r="I73" s="231"/>
      <c r="J73" s="231"/>
      <c r="K73" s="159">
        <v>4000</v>
      </c>
      <c r="L73" s="159">
        <v>0</v>
      </c>
      <c r="M73" s="231"/>
      <c r="N73" s="159">
        <f t="shared" si="5"/>
        <v>4000</v>
      </c>
      <c r="O73" s="159">
        <f>N73</f>
        <v>4000</v>
      </c>
      <c r="P73" s="528"/>
      <c r="Q73" s="528"/>
    </row>
    <row r="74" spans="1:17" s="154" customFormat="1" ht="14.25" customHeight="1">
      <c r="A74" s="23"/>
      <c r="B74" s="13" t="s">
        <v>250</v>
      </c>
      <c r="C74" s="229" t="s">
        <v>251</v>
      </c>
      <c r="D74" s="7">
        <v>79900</v>
      </c>
      <c r="E74" s="15">
        <v>52100</v>
      </c>
      <c r="F74" s="15">
        <v>0</v>
      </c>
      <c r="G74" s="15">
        <v>0</v>
      </c>
      <c r="H74" s="15">
        <v>52000</v>
      </c>
      <c r="I74" s="15">
        <v>0</v>
      </c>
      <c r="J74" s="15">
        <v>0</v>
      </c>
      <c r="K74" s="7">
        <v>36000</v>
      </c>
      <c r="L74" s="7"/>
      <c r="M74" s="15">
        <v>0</v>
      </c>
      <c r="N74" s="7">
        <f t="shared" si="5"/>
        <v>36000</v>
      </c>
      <c r="O74" s="15">
        <f>N74</f>
        <v>36000</v>
      </c>
      <c r="P74" s="19">
        <v>0</v>
      </c>
      <c r="Q74" s="19">
        <v>0</v>
      </c>
    </row>
    <row r="75" spans="1:17" s="154" customFormat="1" ht="17.25" customHeight="1">
      <c r="A75" s="167" t="s">
        <v>289</v>
      </c>
      <c r="B75" s="178"/>
      <c r="C75" s="168" t="s">
        <v>192</v>
      </c>
      <c r="D75" s="140">
        <f aca="true" t="shared" si="18" ref="D75:Q75">D76</f>
        <v>20000</v>
      </c>
      <c r="E75" s="140">
        <f t="shared" si="18"/>
        <v>8000</v>
      </c>
      <c r="F75" s="140">
        <f t="shared" si="18"/>
        <v>0</v>
      </c>
      <c r="G75" s="140">
        <f t="shared" si="18"/>
        <v>0</v>
      </c>
      <c r="H75" s="140">
        <f t="shared" si="18"/>
        <v>4000</v>
      </c>
      <c r="I75" s="140">
        <f t="shared" si="18"/>
        <v>0</v>
      </c>
      <c r="J75" s="140">
        <f t="shared" si="18"/>
        <v>0</v>
      </c>
      <c r="K75" s="140">
        <f>K76</f>
        <v>25000</v>
      </c>
      <c r="L75" s="140">
        <f>L76</f>
        <v>0</v>
      </c>
      <c r="M75" s="140">
        <f>M76</f>
        <v>0</v>
      </c>
      <c r="N75" s="140">
        <f t="shared" si="5"/>
        <v>25000</v>
      </c>
      <c r="O75" s="140">
        <f t="shared" si="18"/>
        <v>25000</v>
      </c>
      <c r="P75" s="138">
        <f t="shared" si="18"/>
        <v>0</v>
      </c>
      <c r="Q75" s="138">
        <f t="shared" si="18"/>
        <v>0</v>
      </c>
    </row>
    <row r="76" spans="1:17" s="154" customFormat="1" ht="15.75" customHeight="1">
      <c r="A76" s="23"/>
      <c r="B76" s="13" t="s">
        <v>250</v>
      </c>
      <c r="C76" s="229" t="s">
        <v>251</v>
      </c>
      <c r="D76" s="7">
        <v>20000</v>
      </c>
      <c r="E76" s="15">
        <v>8000</v>
      </c>
      <c r="F76" s="15">
        <v>0</v>
      </c>
      <c r="G76" s="15">
        <v>0</v>
      </c>
      <c r="H76" s="15">
        <v>4000</v>
      </c>
      <c r="I76" s="15">
        <v>0</v>
      </c>
      <c r="J76" s="15">
        <v>0</v>
      </c>
      <c r="K76" s="7">
        <v>25000</v>
      </c>
      <c r="L76" s="7">
        <v>0</v>
      </c>
      <c r="M76" s="15"/>
      <c r="N76" s="7">
        <f t="shared" si="5"/>
        <v>25000</v>
      </c>
      <c r="O76" s="15">
        <f>N76</f>
        <v>25000</v>
      </c>
      <c r="P76" s="19">
        <v>0</v>
      </c>
      <c r="Q76" s="19">
        <v>0</v>
      </c>
    </row>
    <row r="77" spans="1:17" s="154" customFormat="1" ht="15" customHeight="1">
      <c r="A77" s="167" t="s">
        <v>291</v>
      </c>
      <c r="B77" s="178"/>
      <c r="C77" s="168" t="s">
        <v>292</v>
      </c>
      <c r="D77" s="140" t="e">
        <f>D78+D80+D81+#REF!</f>
        <v>#REF!</v>
      </c>
      <c r="E77" s="140" t="e">
        <f>E78+E80+E81+E82+#REF!+E83+E85+E86+E88</f>
        <v>#REF!</v>
      </c>
      <c r="F77" s="140" t="e">
        <f>F78+F80+F81+F82+#REF!+F83+F85+F86+F88</f>
        <v>#REF!</v>
      </c>
      <c r="G77" s="140" t="e">
        <f>G78+G80+G81+G82+#REF!+G83+G85+G86+G88</f>
        <v>#REF!</v>
      </c>
      <c r="H77" s="140" t="e">
        <f>H78+H80+H81+H82+#REF!+H83+H85+H86+H88+H79</f>
        <v>#REF!</v>
      </c>
      <c r="I77" s="140" t="e">
        <f>I78+I80+I81+I82+#REF!+I83+I85+I86+I88+I79</f>
        <v>#REF!</v>
      </c>
      <c r="J77" s="140" t="e">
        <f>J78+J80+J81+J82+#REF!+J83+J85+J86+J88+J79</f>
        <v>#REF!</v>
      </c>
      <c r="K77" s="140">
        <f>SUM(K78:K88)</f>
        <v>206278</v>
      </c>
      <c r="L77" s="140">
        <f>SUM(L78:L88)</f>
        <v>233</v>
      </c>
      <c r="M77" s="140">
        <f>SUM(M78:M88)</f>
        <v>233</v>
      </c>
      <c r="N77" s="140">
        <f t="shared" si="5"/>
        <v>206278</v>
      </c>
      <c r="O77" s="140">
        <f>SUM(O78:O88)</f>
        <v>206278</v>
      </c>
      <c r="P77" s="140">
        <f>SUM(P78:P88)</f>
        <v>0</v>
      </c>
      <c r="Q77" s="140">
        <f>SUM(Q78:Q88)</f>
        <v>0</v>
      </c>
    </row>
    <row r="78" spans="1:17" s="154" customFormat="1" ht="13.5" customHeight="1">
      <c r="A78" s="23"/>
      <c r="B78" s="13" t="s">
        <v>234</v>
      </c>
      <c r="C78" s="229" t="s">
        <v>166</v>
      </c>
      <c r="D78" s="7">
        <v>49324</v>
      </c>
      <c r="E78" s="15">
        <v>53163</v>
      </c>
      <c r="F78" s="15">
        <v>0</v>
      </c>
      <c r="G78" s="15">
        <v>0</v>
      </c>
      <c r="H78" s="15">
        <v>34560</v>
      </c>
      <c r="I78" s="15">
        <v>0</v>
      </c>
      <c r="J78" s="15">
        <v>0</v>
      </c>
      <c r="K78" s="7">
        <v>63223</v>
      </c>
      <c r="L78" s="7">
        <v>0</v>
      </c>
      <c r="M78" s="15"/>
      <c r="N78" s="7">
        <f t="shared" si="5"/>
        <v>63223</v>
      </c>
      <c r="O78" s="15">
        <f>N78</f>
        <v>63223</v>
      </c>
      <c r="P78" s="19">
        <v>0</v>
      </c>
      <c r="Q78" s="19">
        <v>0</v>
      </c>
    </row>
    <row r="79" spans="1:17" s="154" customFormat="1" ht="14.25" customHeight="1">
      <c r="A79" s="23"/>
      <c r="B79" s="13" t="s">
        <v>236</v>
      </c>
      <c r="C79" s="229" t="s">
        <v>167</v>
      </c>
      <c r="D79" s="7"/>
      <c r="E79" s="15"/>
      <c r="F79" s="15"/>
      <c r="G79" s="15"/>
      <c r="H79" s="15">
        <v>22800</v>
      </c>
      <c r="I79" s="15">
        <v>0</v>
      </c>
      <c r="J79" s="15">
        <v>0</v>
      </c>
      <c r="K79" s="7">
        <v>79706</v>
      </c>
      <c r="L79" s="7">
        <v>0</v>
      </c>
      <c r="M79" s="15"/>
      <c r="N79" s="7">
        <f t="shared" si="5"/>
        <v>79706</v>
      </c>
      <c r="O79" s="15">
        <f aca="true" t="shared" si="19" ref="O79:O88">N79</f>
        <v>79706</v>
      </c>
      <c r="P79" s="19">
        <v>0</v>
      </c>
      <c r="Q79" s="19">
        <v>0</v>
      </c>
    </row>
    <row r="80" spans="1:17" s="154" customFormat="1" ht="14.25" customHeight="1">
      <c r="A80" s="23"/>
      <c r="B80" s="13" t="s">
        <v>238</v>
      </c>
      <c r="C80" s="229" t="s">
        <v>239</v>
      </c>
      <c r="D80" s="7">
        <v>2600</v>
      </c>
      <c r="E80" s="15">
        <v>4103</v>
      </c>
      <c r="F80" s="15">
        <v>0</v>
      </c>
      <c r="G80" s="15">
        <v>0</v>
      </c>
      <c r="H80" s="15">
        <v>4508</v>
      </c>
      <c r="I80" s="15">
        <v>0</v>
      </c>
      <c r="J80" s="15">
        <v>0</v>
      </c>
      <c r="K80" s="7">
        <v>8864</v>
      </c>
      <c r="L80" s="7"/>
      <c r="M80" s="15"/>
      <c r="N80" s="7">
        <f t="shared" si="5"/>
        <v>8864</v>
      </c>
      <c r="O80" s="15">
        <f t="shared" si="19"/>
        <v>8864</v>
      </c>
      <c r="P80" s="19">
        <v>0</v>
      </c>
      <c r="Q80" s="19">
        <v>0</v>
      </c>
    </row>
    <row r="81" spans="1:17" s="154" customFormat="1" ht="12" customHeight="1">
      <c r="A81" s="23"/>
      <c r="B81" s="20" t="s">
        <v>293</v>
      </c>
      <c r="C81" s="229" t="s">
        <v>268</v>
      </c>
      <c r="D81" s="7">
        <v>10556</v>
      </c>
      <c r="E81" s="15">
        <v>10240</v>
      </c>
      <c r="F81" s="15">
        <v>0</v>
      </c>
      <c r="G81" s="15">
        <v>0</v>
      </c>
      <c r="H81" s="15">
        <v>11254</v>
      </c>
      <c r="I81" s="15">
        <v>0</v>
      </c>
      <c r="J81" s="15">
        <v>0</v>
      </c>
      <c r="K81" s="7">
        <v>27435</v>
      </c>
      <c r="L81" s="7">
        <v>0</v>
      </c>
      <c r="M81" s="15">
        <v>0</v>
      </c>
      <c r="N81" s="7">
        <f t="shared" si="5"/>
        <v>27435</v>
      </c>
      <c r="O81" s="15">
        <f t="shared" si="19"/>
        <v>27435</v>
      </c>
      <c r="P81" s="19">
        <v>0</v>
      </c>
      <c r="Q81" s="19">
        <v>0</v>
      </c>
    </row>
    <row r="82" spans="1:17" s="154" customFormat="1" ht="14.25" customHeight="1">
      <c r="A82" s="23"/>
      <c r="B82" s="20" t="s">
        <v>242</v>
      </c>
      <c r="C82" s="229" t="s">
        <v>243</v>
      </c>
      <c r="D82" s="7"/>
      <c r="E82" s="15">
        <v>1403</v>
      </c>
      <c r="F82" s="15">
        <v>0</v>
      </c>
      <c r="G82" s="15">
        <v>0</v>
      </c>
      <c r="H82" s="15">
        <v>1516</v>
      </c>
      <c r="I82" s="15">
        <v>0</v>
      </c>
      <c r="J82" s="15">
        <v>0</v>
      </c>
      <c r="K82" s="7">
        <v>3715</v>
      </c>
      <c r="L82" s="7">
        <v>1</v>
      </c>
      <c r="M82" s="15">
        <v>0</v>
      </c>
      <c r="N82" s="7">
        <f t="shared" si="5"/>
        <v>3716</v>
      </c>
      <c r="O82" s="15">
        <f t="shared" si="19"/>
        <v>3716</v>
      </c>
      <c r="P82" s="19">
        <v>0</v>
      </c>
      <c r="Q82" s="19">
        <v>0</v>
      </c>
    </row>
    <row r="83" spans="1:17" s="154" customFormat="1" ht="14.25" customHeight="1">
      <c r="A83" s="23"/>
      <c r="B83" s="13" t="s">
        <v>244</v>
      </c>
      <c r="C83" s="229" t="s">
        <v>271</v>
      </c>
      <c r="D83" s="7"/>
      <c r="E83" s="15">
        <v>2270</v>
      </c>
      <c r="F83" s="15">
        <v>0</v>
      </c>
      <c r="G83" s="15">
        <v>0</v>
      </c>
      <c r="H83" s="15">
        <v>300</v>
      </c>
      <c r="I83" s="15">
        <v>0</v>
      </c>
      <c r="J83" s="15">
        <v>0</v>
      </c>
      <c r="K83" s="7">
        <v>6756</v>
      </c>
      <c r="L83" s="7">
        <v>232</v>
      </c>
      <c r="M83" s="15"/>
      <c r="N83" s="7">
        <f t="shared" si="5"/>
        <v>6988</v>
      </c>
      <c r="O83" s="15">
        <f t="shared" si="19"/>
        <v>6988</v>
      </c>
      <c r="P83" s="19">
        <v>0</v>
      </c>
      <c r="Q83" s="19">
        <v>0</v>
      </c>
    </row>
    <row r="84" spans="1:17" s="154" customFormat="1" ht="12.75" customHeight="1">
      <c r="A84" s="23"/>
      <c r="B84" s="13" t="s">
        <v>246</v>
      </c>
      <c r="C84" s="229" t="s">
        <v>350</v>
      </c>
      <c r="D84" s="7"/>
      <c r="E84" s="15"/>
      <c r="F84" s="15"/>
      <c r="G84" s="15"/>
      <c r="H84" s="15"/>
      <c r="I84" s="15"/>
      <c r="J84" s="15"/>
      <c r="K84" s="7">
        <v>2263</v>
      </c>
      <c r="L84" s="7"/>
      <c r="M84" s="15">
        <v>0</v>
      </c>
      <c r="N84" s="7">
        <f t="shared" si="5"/>
        <v>2263</v>
      </c>
      <c r="O84" s="15">
        <f t="shared" si="19"/>
        <v>2263</v>
      </c>
      <c r="P84" s="19"/>
      <c r="Q84" s="19"/>
    </row>
    <row r="85" spans="1:17" s="154" customFormat="1" ht="13.5" customHeight="1">
      <c r="A85" s="23"/>
      <c r="B85" s="13" t="s">
        <v>250</v>
      </c>
      <c r="C85" s="229" t="s">
        <v>251</v>
      </c>
      <c r="D85" s="7"/>
      <c r="E85" s="15">
        <v>4000</v>
      </c>
      <c r="F85" s="15">
        <v>0</v>
      </c>
      <c r="G85" s="15">
        <v>0</v>
      </c>
      <c r="H85" s="15">
        <v>3097</v>
      </c>
      <c r="I85" s="15">
        <v>0</v>
      </c>
      <c r="J85" s="15">
        <v>0</v>
      </c>
      <c r="K85" s="7">
        <v>10125</v>
      </c>
      <c r="L85" s="7">
        <v>0</v>
      </c>
      <c r="M85" s="15">
        <v>233</v>
      </c>
      <c r="N85" s="7">
        <f t="shared" si="5"/>
        <v>9892</v>
      </c>
      <c r="O85" s="15">
        <f t="shared" si="19"/>
        <v>9892</v>
      </c>
      <c r="P85" s="19">
        <v>0</v>
      </c>
      <c r="Q85" s="19">
        <v>0</v>
      </c>
    </row>
    <row r="86" spans="1:17" s="154" customFormat="1" ht="13.5" customHeight="1">
      <c r="A86" s="23"/>
      <c r="B86" s="13" t="s">
        <v>252</v>
      </c>
      <c r="C86" s="229" t="s">
        <v>253</v>
      </c>
      <c r="D86" s="7"/>
      <c r="E86" s="15">
        <v>2500</v>
      </c>
      <c r="F86" s="15">
        <v>0</v>
      </c>
      <c r="G86" s="15">
        <v>0</v>
      </c>
      <c r="H86" s="15">
        <v>2478</v>
      </c>
      <c r="I86" s="15">
        <v>0</v>
      </c>
      <c r="J86" s="15">
        <v>0</v>
      </c>
      <c r="K86" s="7">
        <v>0</v>
      </c>
      <c r="L86" s="7"/>
      <c r="M86" s="15">
        <v>0</v>
      </c>
      <c r="N86" s="7">
        <f t="shared" si="5"/>
        <v>0</v>
      </c>
      <c r="O86" s="15">
        <f t="shared" si="19"/>
        <v>0</v>
      </c>
      <c r="P86" s="19">
        <v>0</v>
      </c>
      <c r="Q86" s="19">
        <v>0</v>
      </c>
    </row>
    <row r="87" spans="1:17" s="154" customFormat="1" ht="13.5" customHeight="1">
      <c r="A87" s="23"/>
      <c r="B87" s="13" t="s">
        <v>254</v>
      </c>
      <c r="C87" s="229" t="s">
        <v>255</v>
      </c>
      <c r="D87" s="7"/>
      <c r="E87" s="15"/>
      <c r="F87" s="15"/>
      <c r="G87" s="15"/>
      <c r="H87" s="15"/>
      <c r="I87" s="15"/>
      <c r="J87" s="15"/>
      <c r="K87" s="7">
        <v>1134</v>
      </c>
      <c r="L87" s="7"/>
      <c r="M87" s="15">
        <v>0</v>
      </c>
      <c r="N87" s="7">
        <f t="shared" si="5"/>
        <v>1134</v>
      </c>
      <c r="O87" s="15">
        <f t="shared" si="19"/>
        <v>1134</v>
      </c>
      <c r="P87" s="19">
        <v>0</v>
      </c>
      <c r="Q87" s="19">
        <v>0</v>
      </c>
    </row>
    <row r="88" spans="1:17" s="154" customFormat="1" ht="14.25" customHeight="1">
      <c r="A88" s="23"/>
      <c r="B88" s="13" t="s">
        <v>256</v>
      </c>
      <c r="C88" s="229" t="s">
        <v>257</v>
      </c>
      <c r="D88" s="7"/>
      <c r="E88" s="15">
        <v>1241</v>
      </c>
      <c r="F88" s="15">
        <v>0</v>
      </c>
      <c r="G88" s="15">
        <v>0</v>
      </c>
      <c r="H88" s="15">
        <v>1353</v>
      </c>
      <c r="I88" s="15">
        <v>0</v>
      </c>
      <c r="J88" s="15">
        <v>0</v>
      </c>
      <c r="K88" s="7">
        <v>3057</v>
      </c>
      <c r="L88" s="7">
        <v>0</v>
      </c>
      <c r="M88" s="15"/>
      <c r="N88" s="7">
        <f t="shared" si="5"/>
        <v>3057</v>
      </c>
      <c r="O88" s="15">
        <f t="shared" si="19"/>
        <v>3057</v>
      </c>
      <c r="P88" s="19">
        <v>0</v>
      </c>
      <c r="Q88" s="19">
        <v>0</v>
      </c>
    </row>
    <row r="89" spans="1:17" s="154" customFormat="1" ht="18.75" customHeight="1">
      <c r="A89" s="144" t="s">
        <v>294</v>
      </c>
      <c r="B89" s="148"/>
      <c r="C89" s="150" t="s">
        <v>295</v>
      </c>
      <c r="D89" s="145" t="e">
        <f>D90+D102+D109+D130+D143</f>
        <v>#REF!</v>
      </c>
      <c r="E89" s="145" t="e">
        <f>E90+E102+E109+E130+E143</f>
        <v>#REF!</v>
      </c>
      <c r="F89" s="145" t="e">
        <f>F90+F102+F109+F130+F143</f>
        <v>#REF!</v>
      </c>
      <c r="G89" s="145" t="e">
        <f>G90+G102+G109+G130+G143</f>
        <v>#REF!</v>
      </c>
      <c r="H89" s="145" t="e">
        <f>H90+H102+H109+H130+H143+#REF!</f>
        <v>#REF!</v>
      </c>
      <c r="I89" s="145" t="e">
        <f>I90+I102+I109+I130+I143+#REF!</f>
        <v>#REF!</v>
      </c>
      <c r="J89" s="145" t="e">
        <f>J90+J102+J109+J130+J143+#REF!</f>
        <v>#REF!</v>
      </c>
      <c r="K89" s="145">
        <f>K90+K100+K102+K109+K130+K138+K143</f>
        <v>2630904</v>
      </c>
      <c r="L89" s="145">
        <f>L90+L100+L102+L109+L130+L138+L143</f>
        <v>37627</v>
      </c>
      <c r="M89" s="145">
        <f>M90+M100+M102+M109+M130+M138+M143</f>
        <v>31574</v>
      </c>
      <c r="N89" s="145">
        <f aca="true" t="shared" si="20" ref="N89:N143">K89+L89-M89</f>
        <v>2636957</v>
      </c>
      <c r="O89" s="145">
        <f>O90+O100+O102+O109+O130+O138+O143</f>
        <v>115748</v>
      </c>
      <c r="P89" s="145">
        <f>P90+P100+P102+P109+P130+P138+P143</f>
        <v>2507829</v>
      </c>
      <c r="Q89" s="145">
        <f>Q90+Q100+Q102+Q109+Q130+Q138+Q143</f>
        <v>13380</v>
      </c>
    </row>
    <row r="90" spans="1:17" s="154" customFormat="1" ht="18" customHeight="1">
      <c r="A90" s="167" t="s">
        <v>296</v>
      </c>
      <c r="B90" s="178"/>
      <c r="C90" s="168" t="s">
        <v>297</v>
      </c>
      <c r="D90" s="140" t="e">
        <f>D91+D92+D93+#REF!</f>
        <v>#REF!</v>
      </c>
      <c r="E90" s="140" t="e">
        <f>E91+E92+E93+E94+#REF!+E96</f>
        <v>#REF!</v>
      </c>
      <c r="F90" s="140" t="e">
        <f>F91+F92+F93+F94+#REF!+F96</f>
        <v>#REF!</v>
      </c>
      <c r="G90" s="140" t="e">
        <f>G91+G92+G93+G94+#REF!+G96</f>
        <v>#REF!</v>
      </c>
      <c r="H90" s="140" t="e">
        <f>H91+H92+H93+H94+#REF!+H96+H97+H98+H99+#REF!</f>
        <v>#REF!</v>
      </c>
      <c r="I90" s="140" t="e">
        <f>I91+I92+I93+I94+#REF!+I96+I97+I98+I99+#REF!</f>
        <v>#REF!</v>
      </c>
      <c r="J90" s="140" t="e">
        <f>J91+J92+J93+J94+#REF!+J96+J97+J98+J99+#REF!</f>
        <v>#REF!</v>
      </c>
      <c r="K90" s="140">
        <f>SUM(K91:K99)</f>
        <v>102748</v>
      </c>
      <c r="L90" s="140">
        <f>SUM(L91:L99)</f>
        <v>600</v>
      </c>
      <c r="M90" s="140">
        <f>SUM(M91:M99)</f>
        <v>600</v>
      </c>
      <c r="N90" s="140">
        <f t="shared" si="20"/>
        <v>102748</v>
      </c>
      <c r="O90" s="140">
        <f>SUM(O91:O99)</f>
        <v>102748</v>
      </c>
      <c r="P90" s="140">
        <f>SUM(P91:P99)</f>
        <v>0</v>
      </c>
      <c r="Q90" s="140">
        <f>SUM(Q91:Q99)</f>
        <v>0</v>
      </c>
    </row>
    <row r="91" spans="1:17" s="154" customFormat="1" ht="14.25" customHeight="1">
      <c r="A91" s="23"/>
      <c r="B91" s="13" t="s">
        <v>234</v>
      </c>
      <c r="C91" s="229" t="s">
        <v>166</v>
      </c>
      <c r="D91" s="7">
        <v>90000</v>
      </c>
      <c r="E91" s="15">
        <v>90000</v>
      </c>
      <c r="F91" s="15">
        <v>0</v>
      </c>
      <c r="G91" s="15">
        <v>0</v>
      </c>
      <c r="H91" s="15">
        <v>51600</v>
      </c>
      <c r="I91" s="15">
        <v>0</v>
      </c>
      <c r="J91" s="15">
        <v>0</v>
      </c>
      <c r="K91" s="7">
        <v>70400</v>
      </c>
      <c r="L91" s="7"/>
      <c r="M91" s="15"/>
      <c r="N91" s="7">
        <f t="shared" si="20"/>
        <v>70400</v>
      </c>
      <c r="O91" s="15">
        <f aca="true" t="shared" si="21" ref="O91:O99">N91</f>
        <v>70400</v>
      </c>
      <c r="P91" s="19">
        <v>0</v>
      </c>
      <c r="Q91" s="19">
        <v>0</v>
      </c>
    </row>
    <row r="92" spans="1:17" s="154" customFormat="1" ht="15.75" customHeight="1">
      <c r="A92" s="23"/>
      <c r="B92" s="13" t="s">
        <v>238</v>
      </c>
      <c r="C92" s="229" t="s">
        <v>239</v>
      </c>
      <c r="D92" s="7">
        <v>6390</v>
      </c>
      <c r="E92" s="15">
        <v>6390</v>
      </c>
      <c r="F92" s="15">
        <v>0</v>
      </c>
      <c r="G92" s="15">
        <v>0</v>
      </c>
      <c r="H92" s="15">
        <v>3825</v>
      </c>
      <c r="I92" s="15">
        <v>0</v>
      </c>
      <c r="J92" s="15">
        <v>0</v>
      </c>
      <c r="K92" s="7">
        <v>4712</v>
      </c>
      <c r="L92" s="7"/>
      <c r="M92" s="15"/>
      <c r="N92" s="7">
        <f t="shared" si="20"/>
        <v>4712</v>
      </c>
      <c r="O92" s="15">
        <f t="shared" si="21"/>
        <v>4712</v>
      </c>
      <c r="P92" s="19">
        <v>0</v>
      </c>
      <c r="Q92" s="19">
        <v>0</v>
      </c>
    </row>
    <row r="93" spans="1:17" s="154" customFormat="1" ht="16.5" customHeight="1">
      <c r="A93" s="23"/>
      <c r="B93" s="20" t="s">
        <v>293</v>
      </c>
      <c r="C93" s="229" t="s">
        <v>298</v>
      </c>
      <c r="D93" s="7">
        <v>19597</v>
      </c>
      <c r="E93" s="15">
        <v>17235</v>
      </c>
      <c r="F93" s="15">
        <v>0</v>
      </c>
      <c r="G93" s="15">
        <v>0</v>
      </c>
      <c r="H93" s="15">
        <v>9550</v>
      </c>
      <c r="I93" s="15">
        <v>0</v>
      </c>
      <c r="J93" s="15">
        <v>0</v>
      </c>
      <c r="K93" s="7">
        <v>12873</v>
      </c>
      <c r="L93" s="7"/>
      <c r="M93" s="15">
        <v>0</v>
      </c>
      <c r="N93" s="7">
        <f t="shared" si="20"/>
        <v>12873</v>
      </c>
      <c r="O93" s="15">
        <f t="shared" si="21"/>
        <v>12873</v>
      </c>
      <c r="P93" s="19">
        <v>0</v>
      </c>
      <c r="Q93" s="19">
        <v>0</v>
      </c>
    </row>
    <row r="94" spans="1:17" s="154" customFormat="1" ht="15" customHeight="1">
      <c r="A94" s="23"/>
      <c r="B94" s="20" t="s">
        <v>242</v>
      </c>
      <c r="C94" s="229" t="s">
        <v>243</v>
      </c>
      <c r="D94" s="7"/>
      <c r="E94" s="15">
        <v>2362</v>
      </c>
      <c r="F94" s="15">
        <v>0</v>
      </c>
      <c r="G94" s="15">
        <v>0</v>
      </c>
      <c r="H94" s="15">
        <v>1358</v>
      </c>
      <c r="I94" s="15">
        <v>0</v>
      </c>
      <c r="J94" s="15">
        <v>0</v>
      </c>
      <c r="K94" s="7">
        <v>1840</v>
      </c>
      <c r="L94" s="7"/>
      <c r="M94" s="15"/>
      <c r="N94" s="7">
        <f t="shared" si="20"/>
        <v>1840</v>
      </c>
      <c r="O94" s="15">
        <f t="shared" si="21"/>
        <v>1840</v>
      </c>
      <c r="P94" s="19">
        <v>0</v>
      </c>
      <c r="Q94" s="19">
        <v>0</v>
      </c>
    </row>
    <row r="95" spans="1:17" s="154" customFormat="1" ht="15" customHeight="1">
      <c r="A95" s="23"/>
      <c r="B95" s="13" t="s">
        <v>97</v>
      </c>
      <c r="C95" s="229" t="s">
        <v>109</v>
      </c>
      <c r="D95" s="7"/>
      <c r="E95" s="15"/>
      <c r="F95" s="15"/>
      <c r="G95" s="15"/>
      <c r="H95" s="15"/>
      <c r="I95" s="15"/>
      <c r="J95" s="15"/>
      <c r="K95" s="7">
        <v>7200</v>
      </c>
      <c r="L95" s="7"/>
      <c r="M95" s="15">
        <v>600</v>
      </c>
      <c r="N95" s="7">
        <f t="shared" si="20"/>
        <v>6600</v>
      </c>
      <c r="O95" s="15">
        <f t="shared" si="21"/>
        <v>6600</v>
      </c>
      <c r="P95" s="19">
        <v>0</v>
      </c>
      <c r="Q95" s="19">
        <v>0</v>
      </c>
    </row>
    <row r="96" spans="1:17" s="154" customFormat="1" ht="15" customHeight="1">
      <c r="A96" s="23"/>
      <c r="B96" s="13" t="s">
        <v>244</v>
      </c>
      <c r="C96" s="229" t="s">
        <v>245</v>
      </c>
      <c r="D96" s="7"/>
      <c r="E96" s="15">
        <v>3103</v>
      </c>
      <c r="F96" s="15">
        <v>0</v>
      </c>
      <c r="G96" s="15">
        <v>0</v>
      </c>
      <c r="H96" s="15">
        <v>1691</v>
      </c>
      <c r="I96" s="15">
        <v>0</v>
      </c>
      <c r="J96" s="15">
        <v>0</v>
      </c>
      <c r="K96" s="7">
        <v>1279</v>
      </c>
      <c r="L96" s="7">
        <v>0</v>
      </c>
      <c r="M96" s="15"/>
      <c r="N96" s="7">
        <f t="shared" si="20"/>
        <v>1279</v>
      </c>
      <c r="O96" s="15">
        <f t="shared" si="21"/>
        <v>1279</v>
      </c>
      <c r="P96" s="19">
        <v>0</v>
      </c>
      <c r="Q96" s="19">
        <v>0</v>
      </c>
    </row>
    <row r="97" spans="1:17" s="154" customFormat="1" ht="14.25" customHeight="1">
      <c r="A97" s="23"/>
      <c r="B97" s="13" t="s">
        <v>250</v>
      </c>
      <c r="C97" s="229" t="s">
        <v>352</v>
      </c>
      <c r="D97" s="7"/>
      <c r="E97" s="15"/>
      <c r="F97" s="15"/>
      <c r="G97" s="15"/>
      <c r="H97" s="15">
        <v>17600</v>
      </c>
      <c r="I97" s="15">
        <v>0</v>
      </c>
      <c r="J97" s="15">
        <v>0</v>
      </c>
      <c r="K97" s="7">
        <v>1072</v>
      </c>
      <c r="L97" s="7">
        <v>600</v>
      </c>
      <c r="M97" s="15">
        <v>0</v>
      </c>
      <c r="N97" s="7">
        <f t="shared" si="20"/>
        <v>1672</v>
      </c>
      <c r="O97" s="15">
        <f t="shared" si="21"/>
        <v>1672</v>
      </c>
      <c r="P97" s="19">
        <v>0</v>
      </c>
      <c r="Q97" s="19">
        <v>0</v>
      </c>
    </row>
    <row r="98" spans="1:17" s="154" customFormat="1" ht="15" customHeight="1">
      <c r="A98" s="23"/>
      <c r="B98" s="13" t="s">
        <v>252</v>
      </c>
      <c r="C98" s="229" t="s">
        <v>253</v>
      </c>
      <c r="D98" s="7"/>
      <c r="E98" s="15"/>
      <c r="F98" s="15"/>
      <c r="G98" s="15"/>
      <c r="H98" s="15">
        <v>2225</v>
      </c>
      <c r="I98" s="15">
        <v>0</v>
      </c>
      <c r="J98" s="15">
        <v>0</v>
      </c>
      <c r="K98" s="7">
        <v>738</v>
      </c>
      <c r="L98" s="7">
        <v>0</v>
      </c>
      <c r="M98" s="15">
        <v>0</v>
      </c>
      <c r="N98" s="7">
        <f t="shared" si="20"/>
        <v>738</v>
      </c>
      <c r="O98" s="15">
        <f t="shared" si="21"/>
        <v>738</v>
      </c>
      <c r="P98" s="19">
        <v>0</v>
      </c>
      <c r="Q98" s="19">
        <v>0</v>
      </c>
    </row>
    <row r="99" spans="1:17" s="154" customFormat="1" ht="15" customHeight="1">
      <c r="A99" s="23"/>
      <c r="B99" s="13" t="s">
        <v>256</v>
      </c>
      <c r="C99" s="229" t="s">
        <v>257</v>
      </c>
      <c r="D99" s="7"/>
      <c r="E99" s="15"/>
      <c r="F99" s="15"/>
      <c r="G99" s="15"/>
      <c r="H99" s="76">
        <v>1250</v>
      </c>
      <c r="I99" s="76">
        <v>0</v>
      </c>
      <c r="J99" s="76">
        <v>0</v>
      </c>
      <c r="K99" s="7">
        <v>2634</v>
      </c>
      <c r="L99" s="60"/>
      <c r="M99" s="76"/>
      <c r="N99" s="7">
        <f t="shared" si="20"/>
        <v>2634</v>
      </c>
      <c r="O99" s="15">
        <f t="shared" si="21"/>
        <v>2634</v>
      </c>
      <c r="P99" s="19">
        <v>0</v>
      </c>
      <c r="Q99" s="19">
        <v>0</v>
      </c>
    </row>
    <row r="100" spans="1:17" s="153" customFormat="1" ht="17.25" customHeight="1">
      <c r="A100" s="167" t="s">
        <v>635</v>
      </c>
      <c r="B100" s="178"/>
      <c r="C100" s="168" t="s">
        <v>162</v>
      </c>
      <c r="D100" s="140"/>
      <c r="E100" s="140"/>
      <c r="F100" s="140"/>
      <c r="G100" s="140"/>
      <c r="H100" s="140"/>
      <c r="I100" s="140"/>
      <c r="J100" s="140"/>
      <c r="K100" s="140">
        <f>K101</f>
        <v>3380</v>
      </c>
      <c r="L100" s="140">
        <f>L101</f>
        <v>0</v>
      </c>
      <c r="M100" s="140">
        <f>M101</f>
        <v>0</v>
      </c>
      <c r="N100" s="140">
        <f t="shared" si="20"/>
        <v>3380</v>
      </c>
      <c r="O100" s="140">
        <f>O101</f>
        <v>0</v>
      </c>
      <c r="P100" s="138">
        <f>P101</f>
        <v>0</v>
      </c>
      <c r="Q100" s="138">
        <f>Q101</f>
        <v>3380</v>
      </c>
    </row>
    <row r="101" spans="1:17" s="154" customFormat="1" ht="21.75" customHeight="1">
      <c r="A101" s="23"/>
      <c r="B101" s="13" t="s">
        <v>636</v>
      </c>
      <c r="C101" s="107" t="s">
        <v>637</v>
      </c>
      <c r="D101" s="7"/>
      <c r="E101" s="15"/>
      <c r="F101" s="15"/>
      <c r="G101" s="15"/>
      <c r="H101" s="15"/>
      <c r="I101" s="15"/>
      <c r="J101" s="15"/>
      <c r="K101" s="7">
        <v>3380</v>
      </c>
      <c r="L101" s="7"/>
      <c r="M101" s="15"/>
      <c r="N101" s="7">
        <f t="shared" si="20"/>
        <v>3380</v>
      </c>
      <c r="O101" s="15">
        <v>0</v>
      </c>
      <c r="P101" s="19">
        <v>0</v>
      </c>
      <c r="Q101" s="19">
        <f>N101</f>
        <v>3380</v>
      </c>
    </row>
    <row r="102" spans="1:17" s="153" customFormat="1" ht="16.5" customHeight="1">
      <c r="A102" s="167" t="s">
        <v>300</v>
      </c>
      <c r="B102" s="178"/>
      <c r="C102" s="168" t="s">
        <v>301</v>
      </c>
      <c r="D102" s="140">
        <f>D103</f>
        <v>134900</v>
      </c>
      <c r="E102" s="140" t="e">
        <f>E103+#REF!+#REF!+#REF!</f>
        <v>#REF!</v>
      </c>
      <c r="F102" s="140" t="e">
        <f>F103+#REF!+#REF!+#REF!</f>
        <v>#REF!</v>
      </c>
      <c r="G102" s="140" t="e">
        <f>G103+#REF!+#REF!+#REF!</f>
        <v>#REF!</v>
      </c>
      <c r="H102" s="140">
        <f>H103+H104+H106</f>
        <v>86060</v>
      </c>
      <c r="I102" s="140">
        <f>I103+I104+I106</f>
        <v>0</v>
      </c>
      <c r="J102" s="140">
        <f>J103+J104+J106</f>
        <v>0</v>
      </c>
      <c r="K102" s="140">
        <f>SUM(K103:K108)</f>
        <v>82800</v>
      </c>
      <c r="L102" s="140">
        <f>SUM(L103:L108)</f>
        <v>7664</v>
      </c>
      <c r="M102" s="140">
        <f>SUM(M103:M108)</f>
        <v>0</v>
      </c>
      <c r="N102" s="140">
        <f t="shared" si="20"/>
        <v>90464</v>
      </c>
      <c r="O102" s="140">
        <f>SUM(O103:O108)</f>
        <v>0</v>
      </c>
      <c r="P102" s="140">
        <f>SUM(P103:P108)</f>
        <v>90464</v>
      </c>
      <c r="Q102" s="140">
        <f>SUM(Q103:Q108)</f>
        <v>0</v>
      </c>
    </row>
    <row r="103" spans="1:17" s="154" customFormat="1" ht="12.75" customHeight="1">
      <c r="A103" s="23"/>
      <c r="B103" s="13" t="s">
        <v>232</v>
      </c>
      <c r="C103" s="229" t="s">
        <v>302</v>
      </c>
      <c r="D103" s="7">
        <v>134900</v>
      </c>
      <c r="E103" s="15">
        <v>191600</v>
      </c>
      <c r="F103" s="15">
        <v>0</v>
      </c>
      <c r="G103" s="15">
        <v>0</v>
      </c>
      <c r="H103" s="15">
        <v>74690</v>
      </c>
      <c r="I103" s="15">
        <v>0</v>
      </c>
      <c r="J103" s="15">
        <v>0</v>
      </c>
      <c r="K103" s="7">
        <v>60000</v>
      </c>
      <c r="L103" s="7">
        <v>3139</v>
      </c>
      <c r="M103" s="15"/>
      <c r="N103" s="7">
        <f t="shared" si="20"/>
        <v>63139</v>
      </c>
      <c r="O103" s="15">
        <v>0</v>
      </c>
      <c r="P103" s="19">
        <f aca="true" t="shared" si="22" ref="P103:P108">N103</f>
        <v>63139</v>
      </c>
      <c r="Q103" s="19">
        <v>0</v>
      </c>
    </row>
    <row r="104" spans="1:17" s="154" customFormat="1" ht="12.75" customHeight="1">
      <c r="A104" s="23"/>
      <c r="B104" s="13" t="s">
        <v>244</v>
      </c>
      <c r="C104" s="229" t="s">
        <v>245</v>
      </c>
      <c r="D104" s="7"/>
      <c r="E104" s="15"/>
      <c r="F104" s="15"/>
      <c r="G104" s="15"/>
      <c r="H104" s="15">
        <v>3670</v>
      </c>
      <c r="I104" s="15">
        <v>0</v>
      </c>
      <c r="J104" s="15">
        <v>0</v>
      </c>
      <c r="K104" s="7">
        <v>11900</v>
      </c>
      <c r="L104" s="7">
        <v>1968</v>
      </c>
      <c r="M104" s="15">
        <v>0</v>
      </c>
      <c r="N104" s="7">
        <f t="shared" si="20"/>
        <v>13868</v>
      </c>
      <c r="O104" s="15">
        <v>0</v>
      </c>
      <c r="P104" s="19">
        <f t="shared" si="22"/>
        <v>13868</v>
      </c>
      <c r="Q104" s="19">
        <v>0</v>
      </c>
    </row>
    <row r="105" spans="1:17" s="154" customFormat="1" ht="12.75" customHeight="1">
      <c r="A105" s="23"/>
      <c r="B105" s="13" t="s">
        <v>246</v>
      </c>
      <c r="C105" s="229" t="s">
        <v>350</v>
      </c>
      <c r="D105" s="7"/>
      <c r="E105" s="15"/>
      <c r="F105" s="15"/>
      <c r="G105" s="15"/>
      <c r="H105" s="15"/>
      <c r="I105" s="15"/>
      <c r="J105" s="15"/>
      <c r="K105" s="7">
        <v>5800</v>
      </c>
      <c r="L105" s="7">
        <v>1394</v>
      </c>
      <c r="M105" s="15">
        <v>0</v>
      </c>
      <c r="N105" s="7">
        <f t="shared" si="20"/>
        <v>7194</v>
      </c>
      <c r="O105" s="15">
        <v>0</v>
      </c>
      <c r="P105" s="19">
        <f t="shared" si="22"/>
        <v>7194</v>
      </c>
      <c r="Q105" s="19">
        <v>0</v>
      </c>
    </row>
    <row r="106" spans="1:17" s="154" customFormat="1" ht="12.75" customHeight="1">
      <c r="A106" s="23"/>
      <c r="B106" s="13" t="s">
        <v>250</v>
      </c>
      <c r="C106" s="229" t="s">
        <v>352</v>
      </c>
      <c r="D106" s="7"/>
      <c r="E106" s="15"/>
      <c r="F106" s="15"/>
      <c r="G106" s="15"/>
      <c r="H106" s="15">
        <v>7700</v>
      </c>
      <c r="I106" s="15">
        <v>0</v>
      </c>
      <c r="J106" s="15">
        <v>0</v>
      </c>
      <c r="K106" s="7">
        <v>5100</v>
      </c>
      <c r="L106" s="7">
        <v>1163</v>
      </c>
      <c r="M106" s="15"/>
      <c r="N106" s="7">
        <f t="shared" si="20"/>
        <v>6263</v>
      </c>
      <c r="O106" s="15">
        <v>0</v>
      </c>
      <c r="P106" s="19">
        <f t="shared" si="22"/>
        <v>6263</v>
      </c>
      <c r="Q106" s="19">
        <v>0</v>
      </c>
    </row>
    <row r="107" spans="1:17" s="154" customFormat="1" ht="12.75" customHeight="1">
      <c r="A107" s="23"/>
      <c r="B107" s="13" t="s">
        <v>252</v>
      </c>
      <c r="C107" s="229" t="s">
        <v>253</v>
      </c>
      <c r="D107" s="7"/>
      <c r="E107" s="15"/>
      <c r="F107" s="15"/>
      <c r="G107" s="15"/>
      <c r="H107" s="15"/>
      <c r="I107" s="15"/>
      <c r="J107" s="15"/>
      <c r="K107" s="7">
        <v>0</v>
      </c>
      <c r="L107" s="7"/>
      <c r="M107" s="15">
        <v>0</v>
      </c>
      <c r="N107" s="7">
        <f t="shared" si="20"/>
        <v>0</v>
      </c>
      <c r="O107" s="15">
        <v>0</v>
      </c>
      <c r="P107" s="19">
        <f t="shared" si="22"/>
        <v>0</v>
      </c>
      <c r="Q107" s="19">
        <v>0</v>
      </c>
    </row>
    <row r="108" spans="1:17" s="154" customFormat="1" ht="12.75" customHeight="1">
      <c r="A108" s="23"/>
      <c r="B108" s="13" t="s">
        <v>190</v>
      </c>
      <c r="C108" s="229" t="s">
        <v>191</v>
      </c>
      <c r="D108" s="7"/>
      <c r="E108" s="15"/>
      <c r="F108" s="15"/>
      <c r="G108" s="15"/>
      <c r="H108" s="15"/>
      <c r="I108" s="15"/>
      <c r="J108" s="15"/>
      <c r="K108" s="7">
        <v>0</v>
      </c>
      <c r="L108" s="7"/>
      <c r="M108" s="15">
        <v>0</v>
      </c>
      <c r="N108" s="7">
        <f t="shared" si="20"/>
        <v>0</v>
      </c>
      <c r="O108" s="15">
        <v>0</v>
      </c>
      <c r="P108" s="19">
        <f t="shared" si="22"/>
        <v>0</v>
      </c>
      <c r="Q108" s="19">
        <v>0</v>
      </c>
    </row>
    <row r="109" spans="1:17" s="153" customFormat="1" ht="15.75" customHeight="1">
      <c r="A109" s="167" t="s">
        <v>303</v>
      </c>
      <c r="B109" s="178"/>
      <c r="C109" s="168" t="s">
        <v>304</v>
      </c>
      <c r="D109" s="140" t="e">
        <f>D111+D112+D113+#REF!+D125+#REF!</f>
        <v>#REF!</v>
      </c>
      <c r="E109" s="140" t="e">
        <f>E111+E112+E113+E115+#REF!+#REF!+E116+E117+#REF!+E119+E121+E123+E124+E125+#REF!+#REF!</f>
        <v>#REF!</v>
      </c>
      <c r="F109" s="140" t="e">
        <f>F111+F112+F113+F115+#REF!+#REF!+F116+F117+#REF!+F119+F121+F123+F124+F125+#REF!+#REF!</f>
        <v>#REF!</v>
      </c>
      <c r="G109" s="140" t="e">
        <f>G111+G112+G113+G115+#REF!+#REF!+G116+G117+#REF!+G119+G121+G123+G124+G125+#REF!+#REF!</f>
        <v>#REF!</v>
      </c>
      <c r="H109" s="140" t="e">
        <f>H111+H112+H113+H115+H110+#REF!+H116+H117+#REF!+H119+H121+H123+H124+#REF!+H125+H126+#REF!+H122</f>
        <v>#REF!</v>
      </c>
      <c r="I109" s="140" t="e">
        <f>I111+I112+I113+I115+I110+#REF!+I116+I117+#REF!+I119+I121+I123+I124+#REF!+I125+I126+#REF!+I122</f>
        <v>#REF!</v>
      </c>
      <c r="J109" s="140" t="e">
        <f>J111+J112+J113+J115+J110+#REF!+J116+J117+#REF!+J119+J121+J123+J124+#REF!+J125+J126+#REF!+J122</f>
        <v>#REF!</v>
      </c>
      <c r="K109" s="140">
        <f>SUM(K110:K129)</f>
        <v>2391623</v>
      </c>
      <c r="L109" s="140">
        <f>SUM(L110:L129)</f>
        <v>29363</v>
      </c>
      <c r="M109" s="140">
        <f>SUM(M110:M129)</f>
        <v>29530</v>
      </c>
      <c r="N109" s="140">
        <f t="shared" si="20"/>
        <v>2391456</v>
      </c>
      <c r="O109" s="140">
        <f>SUM(O110:O129)</f>
        <v>0</v>
      </c>
      <c r="P109" s="140">
        <f>SUM(P110:P129)</f>
        <v>2381456</v>
      </c>
      <c r="Q109" s="140">
        <f>SUM(Q110:Q129)</f>
        <v>10000</v>
      </c>
    </row>
    <row r="110" spans="1:17" s="154" customFormat="1" ht="16.5" customHeight="1">
      <c r="A110" s="25"/>
      <c r="B110" s="26" t="s">
        <v>218</v>
      </c>
      <c r="C110" s="229" t="s">
        <v>135</v>
      </c>
      <c r="D110" s="7"/>
      <c r="E110" s="15"/>
      <c r="F110" s="15"/>
      <c r="G110" s="15"/>
      <c r="H110" s="15">
        <v>216</v>
      </c>
      <c r="I110" s="15">
        <v>0</v>
      </c>
      <c r="J110" s="15">
        <v>0</v>
      </c>
      <c r="K110" s="7">
        <v>300</v>
      </c>
      <c r="L110" s="7"/>
      <c r="M110" s="15"/>
      <c r="N110" s="7">
        <f t="shared" si="20"/>
        <v>300</v>
      </c>
      <c r="O110" s="15">
        <v>0</v>
      </c>
      <c r="P110" s="19">
        <f>N110</f>
        <v>300</v>
      </c>
      <c r="Q110" s="19">
        <v>0</v>
      </c>
    </row>
    <row r="111" spans="1:17" s="154" customFormat="1" ht="15.75" customHeight="1">
      <c r="A111" s="25"/>
      <c r="B111" s="26" t="s">
        <v>234</v>
      </c>
      <c r="C111" s="229" t="s">
        <v>166</v>
      </c>
      <c r="D111" s="7">
        <v>1172382</v>
      </c>
      <c r="E111" s="15">
        <v>1396150</v>
      </c>
      <c r="F111" s="15">
        <v>0</v>
      </c>
      <c r="G111" s="15">
        <v>0</v>
      </c>
      <c r="H111" s="15">
        <v>1069576</v>
      </c>
      <c r="I111" s="15">
        <v>0</v>
      </c>
      <c r="J111" s="15">
        <v>0</v>
      </c>
      <c r="K111" s="7">
        <v>1336494</v>
      </c>
      <c r="L111" s="7">
        <v>0</v>
      </c>
      <c r="M111" s="15">
        <v>22424</v>
      </c>
      <c r="N111" s="7">
        <f t="shared" si="20"/>
        <v>1314070</v>
      </c>
      <c r="O111" s="15">
        <v>0</v>
      </c>
      <c r="P111" s="19">
        <f aca="true" t="shared" si="23" ref="P111:P129">N111</f>
        <v>1314070</v>
      </c>
      <c r="Q111" s="19">
        <v>0</v>
      </c>
    </row>
    <row r="112" spans="1:17" s="154" customFormat="1" ht="16.5" customHeight="1">
      <c r="A112" s="25"/>
      <c r="B112" s="26" t="s">
        <v>238</v>
      </c>
      <c r="C112" s="229" t="s">
        <v>239</v>
      </c>
      <c r="D112" s="7">
        <v>77447</v>
      </c>
      <c r="E112" s="15">
        <v>95133</v>
      </c>
      <c r="F112" s="15">
        <v>0</v>
      </c>
      <c r="G112" s="15">
        <v>0</v>
      </c>
      <c r="H112" s="15">
        <v>81433</v>
      </c>
      <c r="I112" s="15">
        <v>0</v>
      </c>
      <c r="J112" s="15">
        <v>0</v>
      </c>
      <c r="K112" s="7">
        <v>104945</v>
      </c>
      <c r="L112" s="7">
        <v>0</v>
      </c>
      <c r="M112" s="15">
        <v>0</v>
      </c>
      <c r="N112" s="7">
        <f t="shared" si="20"/>
        <v>104945</v>
      </c>
      <c r="O112" s="15">
        <v>0</v>
      </c>
      <c r="P112" s="19">
        <f t="shared" si="23"/>
        <v>104945</v>
      </c>
      <c r="Q112" s="19">
        <v>0</v>
      </c>
    </row>
    <row r="113" spans="1:17" s="154" customFormat="1" ht="15" customHeight="1">
      <c r="A113" s="25"/>
      <c r="B113" s="27" t="s">
        <v>293</v>
      </c>
      <c r="C113" s="229" t="s">
        <v>268</v>
      </c>
      <c r="D113" s="7">
        <v>236159</v>
      </c>
      <c r="E113" s="15">
        <v>262390</v>
      </c>
      <c r="F113" s="15">
        <v>0</v>
      </c>
      <c r="G113" s="15">
        <v>0</v>
      </c>
      <c r="H113" s="15">
        <v>195558</v>
      </c>
      <c r="I113" s="15">
        <v>0</v>
      </c>
      <c r="J113" s="15">
        <v>0</v>
      </c>
      <c r="K113" s="7">
        <v>221413</v>
      </c>
      <c r="L113" s="7">
        <v>0</v>
      </c>
      <c r="M113" s="15">
        <v>1947</v>
      </c>
      <c r="N113" s="7">
        <f t="shared" si="20"/>
        <v>219466</v>
      </c>
      <c r="O113" s="15">
        <v>0</v>
      </c>
      <c r="P113" s="19">
        <f t="shared" si="23"/>
        <v>219466</v>
      </c>
      <c r="Q113" s="19">
        <v>0</v>
      </c>
    </row>
    <row r="114" spans="1:17" s="154" customFormat="1" ht="15" customHeight="1">
      <c r="A114" s="25"/>
      <c r="B114" s="27" t="s">
        <v>242</v>
      </c>
      <c r="C114" s="229" t="s">
        <v>243</v>
      </c>
      <c r="D114" s="7"/>
      <c r="E114" s="15"/>
      <c r="F114" s="15"/>
      <c r="G114" s="15"/>
      <c r="H114" s="15"/>
      <c r="I114" s="15"/>
      <c r="J114" s="15"/>
      <c r="K114" s="7">
        <v>33716</v>
      </c>
      <c r="L114" s="7">
        <v>0</v>
      </c>
      <c r="M114" s="15">
        <v>67</v>
      </c>
      <c r="N114" s="7">
        <f t="shared" si="20"/>
        <v>33649</v>
      </c>
      <c r="O114" s="15">
        <v>0</v>
      </c>
      <c r="P114" s="19">
        <f t="shared" si="23"/>
        <v>33649</v>
      </c>
      <c r="Q114" s="19">
        <v>0</v>
      </c>
    </row>
    <row r="115" spans="1:17" s="154" customFormat="1" ht="13.5" customHeight="1">
      <c r="A115" s="25"/>
      <c r="B115" s="27" t="s">
        <v>97</v>
      </c>
      <c r="C115" s="229" t="s">
        <v>109</v>
      </c>
      <c r="D115" s="7"/>
      <c r="E115" s="15">
        <v>35746</v>
      </c>
      <c r="F115" s="15">
        <v>0</v>
      </c>
      <c r="G115" s="15">
        <v>0</v>
      </c>
      <c r="H115" s="15">
        <v>27881</v>
      </c>
      <c r="I115" s="15">
        <v>0</v>
      </c>
      <c r="J115" s="15">
        <v>0</v>
      </c>
      <c r="K115" s="7">
        <v>7500</v>
      </c>
      <c r="L115" s="7">
        <v>0</v>
      </c>
      <c r="M115" s="15">
        <v>2692</v>
      </c>
      <c r="N115" s="7">
        <f t="shared" si="20"/>
        <v>4808</v>
      </c>
      <c r="O115" s="15">
        <v>0</v>
      </c>
      <c r="P115" s="19">
        <f t="shared" si="23"/>
        <v>4808</v>
      </c>
      <c r="Q115" s="19">
        <v>0</v>
      </c>
    </row>
    <row r="116" spans="1:17" s="154" customFormat="1" ht="15.75" customHeight="1">
      <c r="A116" s="25"/>
      <c r="B116" s="26" t="s">
        <v>244</v>
      </c>
      <c r="C116" s="229" t="s">
        <v>271</v>
      </c>
      <c r="D116" s="7"/>
      <c r="E116" s="15">
        <v>125516</v>
      </c>
      <c r="F116" s="15">
        <v>18656</v>
      </c>
      <c r="G116" s="15">
        <v>0</v>
      </c>
      <c r="H116" s="15">
        <v>70370</v>
      </c>
      <c r="I116" s="15">
        <v>0</v>
      </c>
      <c r="J116" s="15">
        <v>0</v>
      </c>
      <c r="K116" s="7">
        <v>83480</v>
      </c>
      <c r="L116" s="7">
        <v>10494</v>
      </c>
      <c r="M116" s="15"/>
      <c r="N116" s="7">
        <f t="shared" si="20"/>
        <v>93974</v>
      </c>
      <c r="O116" s="15">
        <v>0</v>
      </c>
      <c r="P116" s="19">
        <f t="shared" si="23"/>
        <v>93974</v>
      </c>
      <c r="Q116" s="19">
        <v>0</v>
      </c>
    </row>
    <row r="117" spans="1:17" s="154" customFormat="1" ht="15.75" customHeight="1">
      <c r="A117" s="25"/>
      <c r="B117" s="26" t="s">
        <v>246</v>
      </c>
      <c r="C117" s="229" t="s">
        <v>247</v>
      </c>
      <c r="D117" s="7"/>
      <c r="E117" s="15">
        <v>60600</v>
      </c>
      <c r="F117" s="15">
        <v>0</v>
      </c>
      <c r="G117" s="15">
        <v>0</v>
      </c>
      <c r="H117" s="15">
        <v>70000</v>
      </c>
      <c r="I117" s="15">
        <v>0</v>
      </c>
      <c r="J117" s="15">
        <v>0</v>
      </c>
      <c r="K117" s="7">
        <v>65000</v>
      </c>
      <c r="L117" s="7">
        <v>0</v>
      </c>
      <c r="M117" s="15">
        <v>2000</v>
      </c>
      <c r="N117" s="7">
        <f t="shared" si="20"/>
        <v>63000</v>
      </c>
      <c r="O117" s="15">
        <v>0</v>
      </c>
      <c r="P117" s="19">
        <f t="shared" si="23"/>
        <v>63000</v>
      </c>
      <c r="Q117" s="19">
        <v>0</v>
      </c>
    </row>
    <row r="118" spans="1:17" s="154" customFormat="1" ht="15.75" customHeight="1">
      <c r="A118" s="25"/>
      <c r="B118" s="26" t="s">
        <v>248</v>
      </c>
      <c r="C118" s="229" t="s">
        <v>351</v>
      </c>
      <c r="D118" s="7"/>
      <c r="E118" s="15"/>
      <c r="F118" s="15"/>
      <c r="G118" s="15"/>
      <c r="H118" s="15"/>
      <c r="I118" s="15"/>
      <c r="J118" s="15"/>
      <c r="K118" s="7">
        <v>0</v>
      </c>
      <c r="L118" s="7"/>
      <c r="M118" s="15"/>
      <c r="N118" s="7">
        <f t="shared" si="20"/>
        <v>0</v>
      </c>
      <c r="O118" s="15">
        <v>0</v>
      </c>
      <c r="P118" s="19">
        <f t="shared" si="23"/>
        <v>0</v>
      </c>
      <c r="Q118" s="19">
        <v>0</v>
      </c>
    </row>
    <row r="119" spans="1:17" s="154" customFormat="1" ht="13.5" customHeight="1">
      <c r="A119" s="25"/>
      <c r="B119" s="26" t="s">
        <v>250</v>
      </c>
      <c r="C119" s="229" t="s">
        <v>251</v>
      </c>
      <c r="D119" s="7"/>
      <c r="E119" s="15">
        <v>427481</v>
      </c>
      <c r="F119" s="15">
        <v>18859</v>
      </c>
      <c r="G119" s="15">
        <v>0</v>
      </c>
      <c r="H119" s="15">
        <v>385087</v>
      </c>
      <c r="I119" s="15">
        <v>0</v>
      </c>
      <c r="J119" s="15">
        <v>0</v>
      </c>
      <c r="K119" s="7">
        <v>480500</v>
      </c>
      <c r="L119" s="7">
        <v>15349</v>
      </c>
      <c r="M119" s="15"/>
      <c r="N119" s="7">
        <f t="shared" si="20"/>
        <v>495849</v>
      </c>
      <c r="O119" s="15">
        <v>0</v>
      </c>
      <c r="P119" s="19">
        <f t="shared" si="23"/>
        <v>495849</v>
      </c>
      <c r="Q119" s="19">
        <v>0</v>
      </c>
    </row>
    <row r="120" spans="1:17" s="154" customFormat="1" ht="13.5" customHeight="1">
      <c r="A120" s="25"/>
      <c r="B120" s="26" t="s">
        <v>110</v>
      </c>
      <c r="C120" s="229" t="s">
        <v>626</v>
      </c>
      <c r="D120" s="7"/>
      <c r="E120" s="15"/>
      <c r="F120" s="15"/>
      <c r="G120" s="15"/>
      <c r="H120" s="15"/>
      <c r="I120" s="15"/>
      <c r="J120" s="15"/>
      <c r="K120" s="7">
        <v>3600</v>
      </c>
      <c r="L120" s="7"/>
      <c r="M120" s="15"/>
      <c r="N120" s="7">
        <f t="shared" si="20"/>
        <v>3600</v>
      </c>
      <c r="O120" s="15">
        <v>0</v>
      </c>
      <c r="P120" s="19">
        <f t="shared" si="23"/>
        <v>3600</v>
      </c>
      <c r="Q120" s="19">
        <v>0</v>
      </c>
    </row>
    <row r="121" spans="1:17" s="154" customFormat="1" ht="14.25" customHeight="1">
      <c r="A121" s="25"/>
      <c r="B121" s="26" t="s">
        <v>252</v>
      </c>
      <c r="C121" s="229" t="s">
        <v>253</v>
      </c>
      <c r="D121" s="7"/>
      <c r="E121" s="15">
        <v>10250</v>
      </c>
      <c r="F121" s="15">
        <v>761</v>
      </c>
      <c r="G121" s="15">
        <v>0</v>
      </c>
      <c r="H121" s="15">
        <v>7000</v>
      </c>
      <c r="I121" s="15">
        <v>0</v>
      </c>
      <c r="J121" s="15">
        <v>0</v>
      </c>
      <c r="K121" s="7">
        <v>10500</v>
      </c>
      <c r="L121" s="7">
        <v>314</v>
      </c>
      <c r="M121" s="15">
        <v>0</v>
      </c>
      <c r="N121" s="7">
        <f t="shared" si="20"/>
        <v>10814</v>
      </c>
      <c r="O121" s="15">
        <v>0</v>
      </c>
      <c r="P121" s="19">
        <f t="shared" si="23"/>
        <v>10814</v>
      </c>
      <c r="Q121" s="19">
        <v>0</v>
      </c>
    </row>
    <row r="122" spans="1:17" s="154" customFormat="1" ht="14.25" customHeight="1">
      <c r="A122" s="25"/>
      <c r="B122" s="26" t="s">
        <v>190</v>
      </c>
      <c r="C122" s="229" t="s">
        <v>191</v>
      </c>
      <c r="D122" s="7"/>
      <c r="E122" s="15"/>
      <c r="F122" s="15"/>
      <c r="G122" s="15"/>
      <c r="H122" s="15">
        <v>1000</v>
      </c>
      <c r="I122" s="15">
        <v>0</v>
      </c>
      <c r="J122" s="15">
        <v>0</v>
      </c>
      <c r="K122" s="7">
        <v>495</v>
      </c>
      <c r="L122" s="7"/>
      <c r="M122" s="15">
        <v>0</v>
      </c>
      <c r="N122" s="7">
        <f t="shared" si="20"/>
        <v>495</v>
      </c>
      <c r="O122" s="15">
        <v>0</v>
      </c>
      <c r="P122" s="19">
        <f t="shared" si="23"/>
        <v>495</v>
      </c>
      <c r="Q122" s="19">
        <v>0</v>
      </c>
    </row>
    <row r="123" spans="1:17" s="154" customFormat="1" ht="15.75" customHeight="1">
      <c r="A123" s="25"/>
      <c r="B123" s="26" t="s">
        <v>254</v>
      </c>
      <c r="C123" s="229" t="s">
        <v>255</v>
      </c>
      <c r="D123" s="7"/>
      <c r="E123" s="15">
        <v>14454</v>
      </c>
      <c r="F123" s="15">
        <v>0</v>
      </c>
      <c r="G123" s="15">
        <v>761</v>
      </c>
      <c r="H123" s="15">
        <v>11800</v>
      </c>
      <c r="I123" s="15">
        <v>0</v>
      </c>
      <c r="J123" s="15">
        <v>0</v>
      </c>
      <c r="K123" s="7">
        <v>666</v>
      </c>
      <c r="L123" s="7">
        <v>0</v>
      </c>
      <c r="M123" s="15"/>
      <c r="N123" s="7">
        <f t="shared" si="20"/>
        <v>666</v>
      </c>
      <c r="O123" s="15">
        <v>0</v>
      </c>
      <c r="P123" s="19">
        <f t="shared" si="23"/>
        <v>666</v>
      </c>
      <c r="Q123" s="19">
        <v>0</v>
      </c>
    </row>
    <row r="124" spans="1:17" s="154" customFormat="1" ht="16.5" customHeight="1">
      <c r="A124" s="25"/>
      <c r="B124" s="26" t="s">
        <v>256</v>
      </c>
      <c r="C124" s="229" t="s">
        <v>257</v>
      </c>
      <c r="D124" s="7"/>
      <c r="E124" s="15">
        <v>40505</v>
      </c>
      <c r="F124" s="15">
        <v>0</v>
      </c>
      <c r="G124" s="15">
        <v>0</v>
      </c>
      <c r="H124" s="15">
        <v>29427</v>
      </c>
      <c r="I124" s="15">
        <v>0</v>
      </c>
      <c r="J124" s="15">
        <v>0</v>
      </c>
      <c r="K124" s="7">
        <v>32430</v>
      </c>
      <c r="L124" s="7">
        <v>3206</v>
      </c>
      <c r="M124" s="15"/>
      <c r="N124" s="7">
        <f t="shared" si="20"/>
        <v>35636</v>
      </c>
      <c r="O124" s="15">
        <v>0</v>
      </c>
      <c r="P124" s="19">
        <f t="shared" si="23"/>
        <v>35636</v>
      </c>
      <c r="Q124" s="19">
        <v>0</v>
      </c>
    </row>
    <row r="125" spans="1:17" s="154" customFormat="1" ht="15.75" customHeight="1">
      <c r="A125" s="12"/>
      <c r="B125" s="27" t="s">
        <v>272</v>
      </c>
      <c r="C125" s="229" t="s">
        <v>273</v>
      </c>
      <c r="D125" s="7">
        <v>41000</v>
      </c>
      <c r="E125" s="15">
        <v>17600</v>
      </c>
      <c r="F125" s="15">
        <v>0</v>
      </c>
      <c r="G125" s="15">
        <v>0</v>
      </c>
      <c r="H125" s="15">
        <v>153</v>
      </c>
      <c r="I125" s="15">
        <v>0</v>
      </c>
      <c r="J125" s="15">
        <v>0</v>
      </c>
      <c r="K125" s="7">
        <v>184</v>
      </c>
      <c r="L125" s="7"/>
      <c r="M125" s="15">
        <v>0</v>
      </c>
      <c r="N125" s="7">
        <f t="shared" si="20"/>
        <v>184</v>
      </c>
      <c r="O125" s="15">
        <v>0</v>
      </c>
      <c r="P125" s="19">
        <f t="shared" si="23"/>
        <v>184</v>
      </c>
      <c r="Q125" s="19">
        <v>0</v>
      </c>
    </row>
    <row r="126" spans="1:17" s="154" customFormat="1" ht="13.5" customHeight="1">
      <c r="A126" s="12"/>
      <c r="B126" s="27" t="s">
        <v>119</v>
      </c>
      <c r="C126" s="229" t="s">
        <v>639</v>
      </c>
      <c r="D126" s="7"/>
      <c r="E126" s="15"/>
      <c r="F126" s="15"/>
      <c r="G126" s="15"/>
      <c r="H126" s="15">
        <v>500</v>
      </c>
      <c r="I126" s="15">
        <v>0</v>
      </c>
      <c r="J126" s="15">
        <v>0</v>
      </c>
      <c r="K126" s="7">
        <v>400</v>
      </c>
      <c r="L126" s="7"/>
      <c r="M126" s="15">
        <v>400</v>
      </c>
      <c r="N126" s="7">
        <f t="shared" si="20"/>
        <v>0</v>
      </c>
      <c r="O126" s="15">
        <v>0</v>
      </c>
      <c r="P126" s="19">
        <f t="shared" si="23"/>
        <v>0</v>
      </c>
      <c r="Q126" s="19">
        <v>0</v>
      </c>
    </row>
    <row r="127" spans="1:17" s="154" customFormat="1" ht="13.5" customHeight="1">
      <c r="A127" s="12"/>
      <c r="B127" s="27" t="s">
        <v>299</v>
      </c>
      <c r="C127" s="229" t="s">
        <v>221</v>
      </c>
      <c r="D127" s="7"/>
      <c r="E127" s="15"/>
      <c r="F127" s="15"/>
      <c r="G127" s="15"/>
      <c r="H127" s="15"/>
      <c r="I127" s="15"/>
      <c r="J127" s="15"/>
      <c r="K127" s="7">
        <v>10000</v>
      </c>
      <c r="L127" s="7"/>
      <c r="M127" s="15"/>
      <c r="N127" s="7">
        <f t="shared" si="20"/>
        <v>10000</v>
      </c>
      <c r="O127" s="15">
        <v>0</v>
      </c>
      <c r="P127" s="19">
        <f>N127-Q127</f>
        <v>0</v>
      </c>
      <c r="Q127" s="19">
        <f>N127</f>
        <v>10000</v>
      </c>
    </row>
    <row r="128" spans="1:17" s="154" customFormat="1" ht="42" customHeight="1">
      <c r="A128" s="25"/>
      <c r="B128" s="26" t="s">
        <v>70</v>
      </c>
      <c r="C128" s="107" t="s">
        <v>71</v>
      </c>
      <c r="D128" s="7"/>
      <c r="E128" s="15"/>
      <c r="F128" s="15"/>
      <c r="G128" s="15"/>
      <c r="H128" s="15"/>
      <c r="I128" s="15"/>
      <c r="J128" s="15"/>
      <c r="K128" s="7">
        <v>0</v>
      </c>
      <c r="L128" s="7"/>
      <c r="M128" s="15">
        <v>0</v>
      </c>
      <c r="N128" s="7">
        <f t="shared" si="20"/>
        <v>0</v>
      </c>
      <c r="O128" s="15">
        <v>0</v>
      </c>
      <c r="P128" s="19">
        <v>0</v>
      </c>
      <c r="Q128" s="19">
        <f>N128</f>
        <v>0</v>
      </c>
    </row>
    <row r="129" spans="1:17" s="154" customFormat="1" ht="13.5" customHeight="1">
      <c r="A129" s="25"/>
      <c r="B129" s="26" t="s">
        <v>276</v>
      </c>
      <c r="C129" s="229" t="s">
        <v>165</v>
      </c>
      <c r="D129" s="7"/>
      <c r="E129" s="15"/>
      <c r="F129" s="15"/>
      <c r="G129" s="15"/>
      <c r="H129" s="15"/>
      <c r="I129" s="15"/>
      <c r="J129" s="15"/>
      <c r="K129" s="7">
        <v>0</v>
      </c>
      <c r="L129" s="7"/>
      <c r="M129" s="15"/>
      <c r="N129" s="7">
        <f t="shared" si="20"/>
        <v>0</v>
      </c>
      <c r="O129" s="15">
        <v>0</v>
      </c>
      <c r="P129" s="19">
        <f t="shared" si="23"/>
        <v>0</v>
      </c>
      <c r="Q129" s="19">
        <f>N129</f>
        <v>0</v>
      </c>
    </row>
    <row r="130" spans="1:17" s="154" customFormat="1" ht="15" customHeight="1">
      <c r="A130" s="167" t="s">
        <v>305</v>
      </c>
      <c r="B130" s="178"/>
      <c r="C130" s="168" t="s">
        <v>306</v>
      </c>
      <c r="D130" s="140">
        <f>D132</f>
        <v>22000</v>
      </c>
      <c r="E130" s="140" t="e">
        <f>E132+E133+#REF!+E135+E136+E137</f>
        <v>#REF!</v>
      </c>
      <c r="F130" s="140" t="e">
        <f>F132+F133+#REF!+F135+F136+F137</f>
        <v>#REF!</v>
      </c>
      <c r="G130" s="140" t="e">
        <f>G132+G133+#REF!+G135+G136+G137</f>
        <v>#REF!</v>
      </c>
      <c r="H130" s="140">
        <f>H131+H132+H133+H135+H136+H137</f>
        <v>14177</v>
      </c>
      <c r="I130" s="140">
        <f>I131+I132+I133+I135+I136+I137</f>
        <v>0</v>
      </c>
      <c r="J130" s="140">
        <f>J131+J132+J133+J135+J136+J137</f>
        <v>0</v>
      </c>
      <c r="K130" s="140">
        <f>K131+K132+K133+K134+K135+K136+K137</f>
        <v>13000</v>
      </c>
      <c r="L130" s="140">
        <f>L131+L132+L133+L134+L135+L136+L137</f>
        <v>0</v>
      </c>
      <c r="M130" s="140">
        <f>M131+M132+M133+M134+M135+M136+M137</f>
        <v>0</v>
      </c>
      <c r="N130" s="140">
        <f t="shared" si="20"/>
        <v>13000</v>
      </c>
      <c r="O130" s="140">
        <f>O132+O133+O134+O135+O136+O137+O131</f>
        <v>13000</v>
      </c>
      <c r="P130" s="138">
        <f>P131+P132+P133+P134+P135+P136+P137</f>
        <v>0</v>
      </c>
      <c r="Q130" s="138">
        <f>Q131+Q132+Q133+Q134+Q135+Q136+Q137</f>
        <v>0</v>
      </c>
    </row>
    <row r="131" spans="1:17" s="154" customFormat="1" ht="16.5" customHeight="1">
      <c r="A131" s="12"/>
      <c r="B131" s="26" t="s">
        <v>232</v>
      </c>
      <c r="C131" s="229" t="s">
        <v>302</v>
      </c>
      <c r="D131" s="15"/>
      <c r="E131" s="15"/>
      <c r="F131" s="15"/>
      <c r="G131" s="15"/>
      <c r="H131" s="15">
        <v>5842</v>
      </c>
      <c r="I131" s="15">
        <v>0</v>
      </c>
      <c r="J131" s="15">
        <v>0</v>
      </c>
      <c r="K131" s="7">
        <v>5330</v>
      </c>
      <c r="L131" s="7"/>
      <c r="M131" s="15">
        <v>0</v>
      </c>
      <c r="N131" s="7">
        <f t="shared" si="20"/>
        <v>5330</v>
      </c>
      <c r="O131" s="15">
        <f>N131</f>
        <v>5330</v>
      </c>
      <c r="P131" s="16">
        <v>0</v>
      </c>
      <c r="Q131" s="16">
        <v>0</v>
      </c>
    </row>
    <row r="132" spans="1:17" s="154" customFormat="1" ht="15.75" customHeight="1">
      <c r="A132" s="25"/>
      <c r="B132" s="26" t="s">
        <v>267</v>
      </c>
      <c r="C132" s="229" t="s">
        <v>307</v>
      </c>
      <c r="D132" s="7">
        <v>22000</v>
      </c>
      <c r="E132" s="15">
        <v>963</v>
      </c>
      <c r="F132" s="15">
        <v>0</v>
      </c>
      <c r="G132" s="15">
        <v>0</v>
      </c>
      <c r="H132" s="15">
        <v>465</v>
      </c>
      <c r="I132" s="15">
        <v>0</v>
      </c>
      <c r="J132" s="15">
        <v>0</v>
      </c>
      <c r="K132" s="7">
        <v>775</v>
      </c>
      <c r="L132" s="7">
        <v>0</v>
      </c>
      <c r="M132" s="15"/>
      <c r="N132" s="7">
        <f t="shared" si="20"/>
        <v>775</v>
      </c>
      <c r="O132" s="15">
        <f aca="true" t="shared" si="24" ref="O132:O137">N132</f>
        <v>775</v>
      </c>
      <c r="P132" s="19">
        <v>0</v>
      </c>
      <c r="Q132" s="19">
        <v>0</v>
      </c>
    </row>
    <row r="133" spans="1:17" s="154" customFormat="1" ht="15.75" customHeight="1">
      <c r="A133" s="25"/>
      <c r="B133" s="26" t="s">
        <v>242</v>
      </c>
      <c r="C133" s="229" t="s">
        <v>243</v>
      </c>
      <c r="D133" s="7"/>
      <c r="E133" s="15">
        <v>132</v>
      </c>
      <c r="F133" s="15">
        <v>0</v>
      </c>
      <c r="G133" s="15">
        <v>0</v>
      </c>
      <c r="H133" s="15">
        <v>66</v>
      </c>
      <c r="I133" s="15">
        <v>0</v>
      </c>
      <c r="J133" s="15">
        <v>0</v>
      </c>
      <c r="K133" s="7">
        <v>110</v>
      </c>
      <c r="L133" s="7">
        <v>0</v>
      </c>
      <c r="M133" s="15"/>
      <c r="N133" s="7">
        <f t="shared" si="20"/>
        <v>110</v>
      </c>
      <c r="O133" s="15">
        <f t="shared" si="24"/>
        <v>110</v>
      </c>
      <c r="P133" s="19">
        <v>0</v>
      </c>
      <c r="Q133" s="19">
        <v>0</v>
      </c>
    </row>
    <row r="134" spans="1:17" s="154" customFormat="1" ht="15.75" customHeight="1">
      <c r="A134" s="25"/>
      <c r="B134" s="26" t="s">
        <v>97</v>
      </c>
      <c r="C134" s="229" t="s">
        <v>109</v>
      </c>
      <c r="D134" s="7"/>
      <c r="E134" s="15"/>
      <c r="F134" s="15"/>
      <c r="G134" s="15"/>
      <c r="H134" s="15"/>
      <c r="I134" s="15"/>
      <c r="J134" s="15"/>
      <c r="K134" s="7">
        <v>5400</v>
      </c>
      <c r="L134" s="7">
        <v>0</v>
      </c>
      <c r="M134" s="15"/>
      <c r="N134" s="7">
        <f t="shared" si="20"/>
        <v>5400</v>
      </c>
      <c r="O134" s="15">
        <f t="shared" si="24"/>
        <v>5400</v>
      </c>
      <c r="P134" s="19">
        <v>0</v>
      </c>
      <c r="Q134" s="19">
        <v>0</v>
      </c>
    </row>
    <row r="135" spans="1:17" s="154" customFormat="1" ht="16.5" customHeight="1">
      <c r="A135" s="25"/>
      <c r="B135" s="26" t="s">
        <v>244</v>
      </c>
      <c r="C135" s="229" t="s">
        <v>271</v>
      </c>
      <c r="D135" s="7"/>
      <c r="E135" s="15">
        <v>6208</v>
      </c>
      <c r="F135" s="15">
        <v>0</v>
      </c>
      <c r="G135" s="15">
        <v>0</v>
      </c>
      <c r="H135" s="15">
        <v>3642</v>
      </c>
      <c r="I135" s="15">
        <v>0</v>
      </c>
      <c r="J135" s="15">
        <v>0</v>
      </c>
      <c r="K135" s="7">
        <v>687</v>
      </c>
      <c r="L135" s="7"/>
      <c r="M135" s="15">
        <v>0</v>
      </c>
      <c r="N135" s="7">
        <f t="shared" si="20"/>
        <v>687</v>
      </c>
      <c r="O135" s="15">
        <f t="shared" si="24"/>
        <v>687</v>
      </c>
      <c r="P135" s="19">
        <v>0</v>
      </c>
      <c r="Q135" s="19">
        <v>0</v>
      </c>
    </row>
    <row r="136" spans="1:17" s="154" customFormat="1" ht="15.75" customHeight="1">
      <c r="A136" s="25"/>
      <c r="B136" s="26" t="s">
        <v>250</v>
      </c>
      <c r="C136" s="229" t="s">
        <v>251</v>
      </c>
      <c r="D136" s="7"/>
      <c r="E136" s="15">
        <v>2165</v>
      </c>
      <c r="F136" s="15">
        <v>0</v>
      </c>
      <c r="G136" s="15">
        <v>0</v>
      </c>
      <c r="H136" s="15">
        <v>3948</v>
      </c>
      <c r="I136" s="15">
        <v>0</v>
      </c>
      <c r="J136" s="15">
        <v>0</v>
      </c>
      <c r="K136" s="7">
        <v>450</v>
      </c>
      <c r="L136" s="7"/>
      <c r="M136" s="15">
        <v>0</v>
      </c>
      <c r="N136" s="7">
        <f t="shared" si="20"/>
        <v>450</v>
      </c>
      <c r="O136" s="15">
        <f t="shared" si="24"/>
        <v>450</v>
      </c>
      <c r="P136" s="19">
        <v>0</v>
      </c>
      <c r="Q136" s="19">
        <v>0</v>
      </c>
    </row>
    <row r="137" spans="1:17" s="154" customFormat="1" ht="15.75" customHeight="1">
      <c r="A137" s="25"/>
      <c r="B137" s="26" t="s">
        <v>252</v>
      </c>
      <c r="C137" s="229" t="s">
        <v>253</v>
      </c>
      <c r="D137" s="7"/>
      <c r="E137" s="15">
        <v>393</v>
      </c>
      <c r="F137" s="15">
        <v>0</v>
      </c>
      <c r="G137" s="15">
        <v>0</v>
      </c>
      <c r="H137" s="15">
        <v>214</v>
      </c>
      <c r="I137" s="15">
        <v>0</v>
      </c>
      <c r="J137" s="15">
        <v>0</v>
      </c>
      <c r="K137" s="7">
        <v>248</v>
      </c>
      <c r="L137" s="7"/>
      <c r="M137" s="15">
        <v>0</v>
      </c>
      <c r="N137" s="7">
        <f t="shared" si="20"/>
        <v>248</v>
      </c>
      <c r="O137" s="15">
        <f t="shared" si="24"/>
        <v>248</v>
      </c>
      <c r="P137" s="19">
        <v>0</v>
      </c>
      <c r="Q137" s="19">
        <v>0</v>
      </c>
    </row>
    <row r="138" spans="1:17" s="153" customFormat="1" ht="24.75" customHeight="1">
      <c r="A138" s="167" t="s">
        <v>482</v>
      </c>
      <c r="B138" s="178"/>
      <c r="C138" s="168" t="s">
        <v>483</v>
      </c>
      <c r="D138" s="140"/>
      <c r="E138" s="140"/>
      <c r="F138" s="140"/>
      <c r="G138" s="140"/>
      <c r="H138" s="140"/>
      <c r="I138" s="140"/>
      <c r="J138" s="140"/>
      <c r="K138" s="140">
        <f>SUM(K139:K142)</f>
        <v>20500</v>
      </c>
      <c r="L138" s="140">
        <f>SUM(L139:L142)</f>
        <v>0</v>
      </c>
      <c r="M138" s="140">
        <f>SUM(M139:M142)</f>
        <v>1200</v>
      </c>
      <c r="N138" s="140">
        <f t="shared" si="20"/>
        <v>19300</v>
      </c>
      <c r="O138" s="140">
        <f>SUM(O139:O142)</f>
        <v>0</v>
      </c>
      <c r="P138" s="140">
        <f>SUM(P139:P142)</f>
        <v>19300</v>
      </c>
      <c r="Q138" s="140">
        <f>SUM(Q139:Q142)</f>
        <v>0</v>
      </c>
    </row>
    <row r="139" spans="1:17" s="154" customFormat="1" ht="15" customHeight="1">
      <c r="A139" s="25"/>
      <c r="B139" s="26" t="s">
        <v>299</v>
      </c>
      <c r="C139" s="229" t="s">
        <v>484</v>
      </c>
      <c r="D139" s="7"/>
      <c r="E139" s="15"/>
      <c r="F139" s="15"/>
      <c r="G139" s="15"/>
      <c r="H139" s="15"/>
      <c r="I139" s="15"/>
      <c r="J139" s="15"/>
      <c r="K139" s="7">
        <v>0</v>
      </c>
      <c r="L139" s="7"/>
      <c r="M139" s="15"/>
      <c r="N139" s="7">
        <f t="shared" si="20"/>
        <v>0</v>
      </c>
      <c r="O139" s="15">
        <v>0</v>
      </c>
      <c r="P139" s="19">
        <f aca="true" t="shared" si="25" ref="P139:P147">N139</f>
        <v>0</v>
      </c>
      <c r="Q139" s="19">
        <f>N139</f>
        <v>0</v>
      </c>
    </row>
    <row r="140" spans="1:17" s="154" customFormat="1" ht="15" customHeight="1">
      <c r="A140" s="25"/>
      <c r="B140" s="26" t="s">
        <v>97</v>
      </c>
      <c r="C140" s="229" t="s">
        <v>485</v>
      </c>
      <c r="D140" s="7"/>
      <c r="E140" s="15"/>
      <c r="F140" s="15"/>
      <c r="G140" s="15"/>
      <c r="H140" s="15"/>
      <c r="I140" s="15"/>
      <c r="J140" s="15"/>
      <c r="K140" s="7">
        <v>1800</v>
      </c>
      <c r="L140" s="7"/>
      <c r="M140" s="15"/>
      <c r="N140" s="7">
        <f t="shared" si="20"/>
        <v>1800</v>
      </c>
      <c r="O140" s="15">
        <v>0</v>
      </c>
      <c r="P140" s="19">
        <f t="shared" si="25"/>
        <v>1800</v>
      </c>
      <c r="Q140" s="19">
        <v>0</v>
      </c>
    </row>
    <row r="141" spans="1:17" s="154" customFormat="1" ht="15.75" customHeight="1">
      <c r="A141" s="25"/>
      <c r="B141" s="26" t="s">
        <v>244</v>
      </c>
      <c r="C141" s="229" t="s">
        <v>245</v>
      </c>
      <c r="D141" s="7"/>
      <c r="E141" s="15"/>
      <c r="F141" s="15"/>
      <c r="G141" s="15"/>
      <c r="H141" s="15"/>
      <c r="I141" s="15"/>
      <c r="J141" s="15"/>
      <c r="K141" s="7">
        <v>16000</v>
      </c>
      <c r="L141" s="7">
        <v>0</v>
      </c>
      <c r="M141" s="15">
        <v>0</v>
      </c>
      <c r="N141" s="7">
        <f t="shared" si="20"/>
        <v>16000</v>
      </c>
      <c r="O141" s="15">
        <v>0</v>
      </c>
      <c r="P141" s="19">
        <f t="shared" si="25"/>
        <v>16000</v>
      </c>
      <c r="Q141" s="19">
        <v>0</v>
      </c>
    </row>
    <row r="142" spans="1:17" s="154" customFormat="1" ht="14.25" customHeight="1">
      <c r="A142" s="42"/>
      <c r="B142" s="124" t="s">
        <v>250</v>
      </c>
      <c r="C142" s="245" t="s">
        <v>352</v>
      </c>
      <c r="D142" s="60"/>
      <c r="E142" s="76"/>
      <c r="F142" s="76"/>
      <c r="G142" s="76"/>
      <c r="H142" s="76"/>
      <c r="I142" s="76"/>
      <c r="J142" s="76"/>
      <c r="K142" s="60">
        <v>2700</v>
      </c>
      <c r="L142" s="60"/>
      <c r="M142" s="76">
        <v>1200</v>
      </c>
      <c r="N142" s="7">
        <f t="shared" si="20"/>
        <v>1500</v>
      </c>
      <c r="O142" s="15">
        <v>0</v>
      </c>
      <c r="P142" s="19">
        <f t="shared" si="25"/>
        <v>1500</v>
      </c>
      <c r="Q142" s="39">
        <v>0</v>
      </c>
    </row>
    <row r="143" spans="1:17" s="249" customFormat="1" ht="15" customHeight="1">
      <c r="A143" s="167" t="s">
        <v>308</v>
      </c>
      <c r="B143" s="178"/>
      <c r="C143" s="235" t="s">
        <v>309</v>
      </c>
      <c r="D143" s="140" t="e">
        <f>#REF!</f>
        <v>#REF!</v>
      </c>
      <c r="E143" s="140" t="e">
        <f>#REF!+E147</f>
        <v>#REF!</v>
      </c>
      <c r="F143" s="140" t="e">
        <f>#REF!+F147</f>
        <v>#REF!</v>
      </c>
      <c r="G143" s="140" t="e">
        <f>#REF!+G147</f>
        <v>#REF!</v>
      </c>
      <c r="H143" s="140">
        <f>H145+H147</f>
        <v>8900</v>
      </c>
      <c r="I143" s="140">
        <f>I145+I147</f>
        <v>0</v>
      </c>
      <c r="J143" s="140">
        <f>J145+J147</f>
        <v>0</v>
      </c>
      <c r="K143" s="140">
        <f>SUM(K144:K147)</f>
        <v>16853</v>
      </c>
      <c r="L143" s="140">
        <f>SUM(L144:L147)</f>
        <v>0</v>
      </c>
      <c r="M143" s="140">
        <f>SUM(M144:M147)</f>
        <v>244</v>
      </c>
      <c r="N143" s="140">
        <f t="shared" si="20"/>
        <v>16609</v>
      </c>
      <c r="O143" s="140"/>
      <c r="P143" s="138">
        <f t="shared" si="25"/>
        <v>16609</v>
      </c>
      <c r="Q143" s="138">
        <f>Q145+Q144+Q146+Q147</f>
        <v>0</v>
      </c>
    </row>
    <row r="144" spans="1:17" s="154" customFormat="1" ht="17.25" customHeight="1">
      <c r="A144" s="25"/>
      <c r="B144" s="26" t="s">
        <v>97</v>
      </c>
      <c r="C144" s="229" t="s">
        <v>627</v>
      </c>
      <c r="D144" s="7"/>
      <c r="E144" s="15"/>
      <c r="F144" s="15"/>
      <c r="G144" s="15"/>
      <c r="H144" s="15"/>
      <c r="I144" s="15"/>
      <c r="J144" s="15"/>
      <c r="K144" s="7">
        <v>3000</v>
      </c>
      <c r="L144" s="7">
        <v>0</v>
      </c>
      <c r="M144" s="15"/>
      <c r="N144" s="7">
        <f aca="true" t="shared" si="26" ref="N144:N190">K144+L144-M144</f>
        <v>3000</v>
      </c>
      <c r="O144" s="15">
        <v>0</v>
      </c>
      <c r="P144" s="19">
        <f t="shared" si="25"/>
        <v>3000</v>
      </c>
      <c r="Q144" s="19">
        <v>0</v>
      </c>
    </row>
    <row r="145" spans="1:17" s="154" customFormat="1" ht="15.75" customHeight="1">
      <c r="A145" s="25"/>
      <c r="B145" s="26" t="s">
        <v>244</v>
      </c>
      <c r="C145" s="229" t="s">
        <v>271</v>
      </c>
      <c r="D145" s="7"/>
      <c r="E145" s="15"/>
      <c r="F145" s="15"/>
      <c r="G145" s="15"/>
      <c r="H145" s="15">
        <v>800</v>
      </c>
      <c r="I145" s="15">
        <v>0</v>
      </c>
      <c r="J145" s="15">
        <v>0</v>
      </c>
      <c r="K145" s="7">
        <v>350</v>
      </c>
      <c r="L145" s="7"/>
      <c r="M145" s="15">
        <v>0</v>
      </c>
      <c r="N145" s="7">
        <f t="shared" si="26"/>
        <v>350</v>
      </c>
      <c r="O145" s="15">
        <v>0</v>
      </c>
      <c r="P145" s="19">
        <f t="shared" si="25"/>
        <v>350</v>
      </c>
      <c r="Q145" s="19">
        <v>0</v>
      </c>
    </row>
    <row r="146" spans="1:17" s="154" customFormat="1" ht="17.25" customHeight="1">
      <c r="A146" s="25"/>
      <c r="B146" s="26" t="s">
        <v>250</v>
      </c>
      <c r="C146" s="229" t="s">
        <v>251</v>
      </c>
      <c r="D146" s="7"/>
      <c r="E146" s="15"/>
      <c r="F146" s="15"/>
      <c r="G146" s="15"/>
      <c r="H146" s="15"/>
      <c r="I146" s="15"/>
      <c r="J146" s="15"/>
      <c r="K146" s="7">
        <v>1768</v>
      </c>
      <c r="L146" s="7">
        <v>0</v>
      </c>
      <c r="M146" s="15">
        <v>244</v>
      </c>
      <c r="N146" s="7">
        <f t="shared" si="26"/>
        <v>1524</v>
      </c>
      <c r="O146" s="15">
        <v>0</v>
      </c>
      <c r="P146" s="19">
        <f t="shared" si="25"/>
        <v>1524</v>
      </c>
      <c r="Q146" s="19">
        <v>0</v>
      </c>
    </row>
    <row r="147" spans="1:17" s="154" customFormat="1" ht="17.25" customHeight="1">
      <c r="A147" s="25"/>
      <c r="B147" s="26" t="s">
        <v>254</v>
      </c>
      <c r="C147" s="229" t="s">
        <v>412</v>
      </c>
      <c r="D147" s="7"/>
      <c r="E147" s="15">
        <v>7000</v>
      </c>
      <c r="F147" s="15">
        <v>0</v>
      </c>
      <c r="G147" s="15">
        <v>0</v>
      </c>
      <c r="H147" s="15">
        <v>8100</v>
      </c>
      <c r="I147" s="15">
        <v>0</v>
      </c>
      <c r="J147" s="15">
        <v>0</v>
      </c>
      <c r="K147" s="7">
        <v>11735</v>
      </c>
      <c r="L147" s="7">
        <v>0</v>
      </c>
      <c r="M147" s="15">
        <v>0</v>
      </c>
      <c r="N147" s="7">
        <f t="shared" si="26"/>
        <v>11735</v>
      </c>
      <c r="O147" s="15">
        <v>0</v>
      </c>
      <c r="P147" s="19">
        <f t="shared" si="25"/>
        <v>11735</v>
      </c>
      <c r="Q147" s="19">
        <v>0</v>
      </c>
    </row>
    <row r="148" spans="1:17" s="154" customFormat="1" ht="36" customHeight="1">
      <c r="A148" s="144" t="s">
        <v>736</v>
      </c>
      <c r="B148" s="148"/>
      <c r="C148" s="149" t="s">
        <v>735</v>
      </c>
      <c r="D148" s="145"/>
      <c r="E148" s="145"/>
      <c r="F148" s="145"/>
      <c r="G148" s="145"/>
      <c r="H148" s="145"/>
      <c r="I148" s="145"/>
      <c r="J148" s="145"/>
      <c r="K148" s="145">
        <f>K149</f>
        <v>12520</v>
      </c>
      <c r="L148" s="145">
        <f>L149</f>
        <v>0</v>
      </c>
      <c r="M148" s="145">
        <f>M149</f>
        <v>0</v>
      </c>
      <c r="N148" s="145">
        <f aca="true" t="shared" si="27" ref="N148:N156">K148+L148-M148</f>
        <v>12520</v>
      </c>
      <c r="O148" s="145">
        <f aca="true" t="shared" si="28" ref="O148:O156">N148</f>
        <v>12520</v>
      </c>
      <c r="P148" s="145"/>
      <c r="Q148" s="145"/>
    </row>
    <row r="149" spans="1:17" s="154" customFormat="1" ht="24.75" customHeight="1">
      <c r="A149" s="167" t="s">
        <v>737</v>
      </c>
      <c r="B149" s="474"/>
      <c r="C149" s="179" t="s">
        <v>739</v>
      </c>
      <c r="D149" s="232"/>
      <c r="E149" s="186"/>
      <c r="F149" s="186"/>
      <c r="G149" s="186"/>
      <c r="H149" s="186"/>
      <c r="I149" s="186"/>
      <c r="J149" s="186"/>
      <c r="K149" s="140">
        <f>K150+K151+K152+K153+K154+K155+K156</f>
        <v>12520</v>
      </c>
      <c r="L149" s="140">
        <f>L150+L151+L152+L153+L154+L155+L156</f>
        <v>0</v>
      </c>
      <c r="M149" s="140">
        <f>M150+M151+M152+M153+M154+M155+M156</f>
        <v>0</v>
      </c>
      <c r="N149" s="140">
        <f t="shared" si="27"/>
        <v>12520</v>
      </c>
      <c r="O149" s="140">
        <f t="shared" si="28"/>
        <v>12520</v>
      </c>
      <c r="P149" s="140"/>
      <c r="Q149" s="140">
        <v>0</v>
      </c>
    </row>
    <row r="150" spans="1:17" s="154" customFormat="1" ht="15.75" customHeight="1">
      <c r="A150" s="25"/>
      <c r="B150" s="26" t="s">
        <v>232</v>
      </c>
      <c r="C150" s="229" t="s">
        <v>302</v>
      </c>
      <c r="D150" s="7"/>
      <c r="E150" s="15"/>
      <c r="F150" s="15"/>
      <c r="G150" s="15"/>
      <c r="H150" s="15"/>
      <c r="I150" s="15"/>
      <c r="J150" s="15"/>
      <c r="K150" s="7">
        <v>1470</v>
      </c>
      <c r="L150" s="7">
        <v>0</v>
      </c>
      <c r="M150" s="15"/>
      <c r="N150" s="7">
        <f t="shared" si="27"/>
        <v>1470</v>
      </c>
      <c r="O150" s="15">
        <f t="shared" si="28"/>
        <v>1470</v>
      </c>
      <c r="P150" s="19"/>
      <c r="Q150" s="19"/>
    </row>
    <row r="151" spans="1:17" s="154" customFormat="1" ht="18" customHeight="1">
      <c r="A151" s="25"/>
      <c r="B151" s="26" t="s">
        <v>267</v>
      </c>
      <c r="C151" s="229" t="s">
        <v>307</v>
      </c>
      <c r="D151" s="7"/>
      <c r="E151" s="15"/>
      <c r="F151" s="15"/>
      <c r="G151" s="15"/>
      <c r="H151" s="15"/>
      <c r="I151" s="15"/>
      <c r="J151" s="15"/>
      <c r="K151" s="7">
        <v>766</v>
      </c>
      <c r="L151" s="7">
        <v>0</v>
      </c>
      <c r="M151" s="15"/>
      <c r="N151" s="7">
        <f t="shared" si="27"/>
        <v>766</v>
      </c>
      <c r="O151" s="15">
        <f t="shared" si="28"/>
        <v>766</v>
      </c>
      <c r="P151" s="19"/>
      <c r="Q151" s="19"/>
    </row>
    <row r="152" spans="1:17" s="154" customFormat="1" ht="15.75" customHeight="1">
      <c r="A152" s="25"/>
      <c r="B152" s="26" t="s">
        <v>242</v>
      </c>
      <c r="C152" s="229" t="s">
        <v>243</v>
      </c>
      <c r="D152" s="7"/>
      <c r="E152" s="15"/>
      <c r="F152" s="15"/>
      <c r="G152" s="15"/>
      <c r="H152" s="15"/>
      <c r="I152" s="15"/>
      <c r="J152" s="15"/>
      <c r="K152" s="7">
        <v>110</v>
      </c>
      <c r="L152" s="7">
        <v>0</v>
      </c>
      <c r="M152" s="15"/>
      <c r="N152" s="7">
        <f t="shared" si="27"/>
        <v>110</v>
      </c>
      <c r="O152" s="15">
        <f t="shared" si="28"/>
        <v>110</v>
      </c>
      <c r="P152" s="19"/>
      <c r="Q152" s="19"/>
    </row>
    <row r="153" spans="1:17" s="154" customFormat="1" ht="15.75" customHeight="1">
      <c r="A153" s="25"/>
      <c r="B153" s="26" t="s">
        <v>97</v>
      </c>
      <c r="C153" s="229" t="s">
        <v>485</v>
      </c>
      <c r="D153" s="7"/>
      <c r="E153" s="15"/>
      <c r="F153" s="15"/>
      <c r="G153" s="15"/>
      <c r="H153" s="15"/>
      <c r="I153" s="15"/>
      <c r="J153" s="15"/>
      <c r="K153" s="7">
        <v>4480</v>
      </c>
      <c r="L153" s="7">
        <v>0</v>
      </c>
      <c r="M153" s="15"/>
      <c r="N153" s="7">
        <f t="shared" si="27"/>
        <v>4480</v>
      </c>
      <c r="O153" s="15">
        <f t="shared" si="28"/>
        <v>4480</v>
      </c>
      <c r="P153" s="19"/>
      <c r="Q153" s="19"/>
    </row>
    <row r="154" spans="1:17" s="154" customFormat="1" ht="16.5" customHeight="1">
      <c r="A154" s="25"/>
      <c r="B154" s="26" t="s">
        <v>244</v>
      </c>
      <c r="C154" s="229" t="s">
        <v>245</v>
      </c>
      <c r="D154" s="7"/>
      <c r="E154" s="15"/>
      <c r="F154" s="15"/>
      <c r="G154" s="15"/>
      <c r="H154" s="15"/>
      <c r="I154" s="15"/>
      <c r="J154" s="15"/>
      <c r="K154" s="7">
        <v>1065</v>
      </c>
      <c r="L154" s="7">
        <v>0</v>
      </c>
      <c r="M154" s="15">
        <v>0</v>
      </c>
      <c r="N154" s="7">
        <f t="shared" si="27"/>
        <v>1065</v>
      </c>
      <c r="O154" s="15">
        <f t="shared" si="28"/>
        <v>1065</v>
      </c>
      <c r="P154" s="19"/>
      <c r="Q154" s="19"/>
    </row>
    <row r="155" spans="1:17" s="154" customFormat="1" ht="15.75" customHeight="1">
      <c r="A155" s="25"/>
      <c r="B155" s="26" t="s">
        <v>250</v>
      </c>
      <c r="C155" s="229" t="s">
        <v>251</v>
      </c>
      <c r="D155" s="7"/>
      <c r="E155" s="15"/>
      <c r="F155" s="15"/>
      <c r="G155" s="15"/>
      <c r="H155" s="15"/>
      <c r="I155" s="15"/>
      <c r="J155" s="15"/>
      <c r="K155" s="7">
        <v>4453</v>
      </c>
      <c r="L155" s="7">
        <v>0</v>
      </c>
      <c r="M155" s="15">
        <v>0</v>
      </c>
      <c r="N155" s="7">
        <f t="shared" si="27"/>
        <v>4453</v>
      </c>
      <c r="O155" s="15">
        <f t="shared" si="28"/>
        <v>4453</v>
      </c>
      <c r="P155" s="19"/>
      <c r="Q155" s="19"/>
    </row>
    <row r="156" spans="1:17" s="154" customFormat="1" ht="15" customHeight="1">
      <c r="A156" s="25"/>
      <c r="B156" s="26" t="s">
        <v>252</v>
      </c>
      <c r="C156" s="229" t="s">
        <v>253</v>
      </c>
      <c r="D156" s="7"/>
      <c r="E156" s="15"/>
      <c r="F156" s="15"/>
      <c r="G156" s="15"/>
      <c r="H156" s="15"/>
      <c r="I156" s="15"/>
      <c r="J156" s="15"/>
      <c r="K156" s="7">
        <v>176</v>
      </c>
      <c r="L156" s="7">
        <v>0</v>
      </c>
      <c r="M156" s="15"/>
      <c r="N156" s="7">
        <f t="shared" si="27"/>
        <v>176</v>
      </c>
      <c r="O156" s="15">
        <f t="shared" si="28"/>
        <v>176</v>
      </c>
      <c r="P156" s="19"/>
      <c r="Q156" s="19"/>
    </row>
    <row r="157" spans="1:17" s="154" customFormat="1" ht="27" customHeight="1">
      <c r="A157" s="144" t="s">
        <v>310</v>
      </c>
      <c r="B157" s="148"/>
      <c r="C157" s="150" t="s">
        <v>311</v>
      </c>
      <c r="D157" s="145" t="e">
        <f>#REF!+D158</f>
        <v>#REF!</v>
      </c>
      <c r="E157" s="145" t="e">
        <f>#REF!+E158</f>
        <v>#REF!</v>
      </c>
      <c r="F157" s="145" t="e">
        <f>#REF!+F158</f>
        <v>#REF!</v>
      </c>
      <c r="G157" s="145" t="e">
        <f>#REF!+G158</f>
        <v>#REF!</v>
      </c>
      <c r="H157" s="145" t="e">
        <f>#REF!+H158</f>
        <v>#REF!</v>
      </c>
      <c r="I157" s="145" t="e">
        <f>#REF!+I158</f>
        <v>#REF!</v>
      </c>
      <c r="J157" s="145" t="e">
        <f>#REF!+J158</f>
        <v>#REF!</v>
      </c>
      <c r="K157" s="145">
        <f>+K158+K180</f>
        <v>2294000</v>
      </c>
      <c r="L157" s="145">
        <f>+L158+L180</f>
        <v>23366</v>
      </c>
      <c r="M157" s="145">
        <f>+M158+M180</f>
        <v>23366</v>
      </c>
      <c r="N157" s="145">
        <f t="shared" si="26"/>
        <v>2294000</v>
      </c>
      <c r="O157" s="145">
        <f>+O158+O180</f>
        <v>2204000</v>
      </c>
      <c r="P157" s="145">
        <f>+P158+P180</f>
        <v>90000</v>
      </c>
      <c r="Q157" s="145">
        <f>+Q158+Q180</f>
        <v>0</v>
      </c>
    </row>
    <row r="158" spans="1:17" s="154" customFormat="1" ht="27.75" customHeight="1">
      <c r="A158" s="167" t="s">
        <v>353</v>
      </c>
      <c r="B158" s="178"/>
      <c r="C158" s="168" t="s">
        <v>354</v>
      </c>
      <c r="D158" s="140" t="e">
        <f>D160+D161+D162+D163+D164+#REF!+D165+D166</f>
        <v>#REF!</v>
      </c>
      <c r="E158" s="140" t="e">
        <f>E160+E161+E162+E163+E164+#REF!+E165+E166+#REF!+E168+E169+E170+E171+E173+E174+E175+#REF!+E176+E177+#REF!+#REF!</f>
        <v>#REF!</v>
      </c>
      <c r="F158" s="140" t="e">
        <f>F160+F161+F162+F163+F164+#REF!+F165+F166+#REF!+F168+F170+F171+F173+F174+#REF!+F176+F177+#REF!+#REF!</f>
        <v>#REF!</v>
      </c>
      <c r="G158" s="140" t="e">
        <f>G160+G161+G162+G163+G164+#REF!+G165+G166+#REF!+G168+G170+G171+G173+G174+#REF!+G176+G177+#REF!+#REF!</f>
        <v>#REF!</v>
      </c>
      <c r="H158" s="140" t="e">
        <f>H160+H161+H162+H163+H164+#REF!+H165+H166+#REF!+H168+H169+H170+H171+H173+H174+H175+H176+#REF!+H177+#REF!</f>
        <v>#REF!</v>
      </c>
      <c r="I158" s="140" t="e">
        <f>I160+I161+I162+I163+I164+#REF!+I165+I166+#REF!+I168+I169+I170+I171+I173+I174+I175+I176+#REF!+I177+#REF!</f>
        <v>#REF!</v>
      </c>
      <c r="J158" s="140" t="e">
        <f>J160+J161+J162+J163+J164+#REF!+J165+J166+#REF!+J168+J169+J170+J171+J173+J174+J175+J176+#REF!+J177+#REF!</f>
        <v>#REF!</v>
      </c>
      <c r="K158" s="140">
        <f>K160+K161+K162+K163+K164+K165+K166+K159+K167+K168+K169+K170+K171+K173+K174+K175+K176+K177+K178+K172+K179</f>
        <v>2291000</v>
      </c>
      <c r="L158" s="140">
        <f>L160+L161+L162+L163+L164+L165+L166+L159+L167+L168+L169+L170+L171+L173+L174+L175+L176+L177+L178+L172+L179</f>
        <v>23366</v>
      </c>
      <c r="M158" s="140">
        <f>M160+M161+M162+M163+M164+M165+M166+M159+M167+M168+M169+M170+M171+M173+M174+M175+M176+M177+M178+M172+M179</f>
        <v>23366</v>
      </c>
      <c r="N158" s="140">
        <f t="shared" si="26"/>
        <v>2291000</v>
      </c>
      <c r="O158" s="140">
        <f>O160+O161+O162+O163+O164+O165+O166+O159+O167+O168+O169+O170+O171+O173+O174+O175+O176+O177+O178+O172</f>
        <v>2201000</v>
      </c>
      <c r="P158" s="140">
        <f>P160+P161+P162+P163+P164+P165+P166+P159+P167+P168+P169+P170+P171+P173+P174+P175+P176+P177+P178+P172+P179</f>
        <v>90000</v>
      </c>
      <c r="Q158" s="140">
        <f>Q160+Q161+Q162+Q163+Q164+Q165+Q166+Q159+Q167+Q168+Q169+Q170+Q171+Q173+Q174+Q175+Q176+Q177+Q178+Q172</f>
        <v>0</v>
      </c>
    </row>
    <row r="159" spans="1:17" s="154" customFormat="1" ht="15" customHeight="1">
      <c r="A159" s="25"/>
      <c r="B159" s="26" t="s">
        <v>628</v>
      </c>
      <c r="C159" s="229" t="s">
        <v>629</v>
      </c>
      <c r="D159" s="7"/>
      <c r="E159" s="15"/>
      <c r="F159" s="15"/>
      <c r="G159" s="15"/>
      <c r="H159" s="15"/>
      <c r="I159" s="15"/>
      <c r="J159" s="15"/>
      <c r="K159" s="7">
        <v>134000</v>
      </c>
      <c r="L159" s="7"/>
      <c r="M159" s="15">
        <v>980</v>
      </c>
      <c r="N159" s="7">
        <f t="shared" si="26"/>
        <v>133020</v>
      </c>
      <c r="O159" s="15">
        <f>N159</f>
        <v>133020</v>
      </c>
      <c r="P159" s="19">
        <v>0</v>
      </c>
      <c r="Q159" s="19">
        <v>0</v>
      </c>
    </row>
    <row r="160" spans="1:17" s="154" customFormat="1" ht="16.5" customHeight="1">
      <c r="A160" s="25"/>
      <c r="B160" s="26" t="s">
        <v>236</v>
      </c>
      <c r="C160" s="229" t="s">
        <v>640</v>
      </c>
      <c r="D160" s="7">
        <v>15218</v>
      </c>
      <c r="E160" s="15">
        <v>14500</v>
      </c>
      <c r="F160" s="15">
        <v>1000</v>
      </c>
      <c r="G160" s="15">
        <v>0</v>
      </c>
      <c r="H160" s="15">
        <v>17000</v>
      </c>
      <c r="I160" s="15">
        <v>0</v>
      </c>
      <c r="J160" s="15">
        <v>0</v>
      </c>
      <c r="K160" s="7">
        <v>19943</v>
      </c>
      <c r="L160" s="7">
        <v>0</v>
      </c>
      <c r="M160" s="15"/>
      <c r="N160" s="7">
        <f t="shared" si="26"/>
        <v>19943</v>
      </c>
      <c r="O160" s="15">
        <f aca="true" t="shared" si="29" ref="O160:O184">N160</f>
        <v>19943</v>
      </c>
      <c r="P160" s="19">
        <v>0</v>
      </c>
      <c r="Q160" s="19">
        <v>0</v>
      </c>
    </row>
    <row r="161" spans="1:17" s="154" customFormat="1" ht="14.25" customHeight="1">
      <c r="A161" s="25"/>
      <c r="B161" s="26" t="s">
        <v>238</v>
      </c>
      <c r="C161" s="229" t="s">
        <v>239</v>
      </c>
      <c r="D161" s="7">
        <v>782</v>
      </c>
      <c r="E161" s="15">
        <v>1200</v>
      </c>
      <c r="F161" s="15">
        <v>0</v>
      </c>
      <c r="G161" s="15">
        <v>14</v>
      </c>
      <c r="H161" s="15">
        <v>1415</v>
      </c>
      <c r="I161" s="15">
        <v>0</v>
      </c>
      <c r="J161" s="15">
        <v>0</v>
      </c>
      <c r="K161" s="7">
        <v>1557</v>
      </c>
      <c r="L161" s="7"/>
      <c r="M161" s="15">
        <v>0</v>
      </c>
      <c r="N161" s="7">
        <f t="shared" si="26"/>
        <v>1557</v>
      </c>
      <c r="O161" s="15">
        <f t="shared" si="29"/>
        <v>1557</v>
      </c>
      <c r="P161" s="19">
        <v>0</v>
      </c>
      <c r="Q161" s="19">
        <v>0</v>
      </c>
    </row>
    <row r="162" spans="1:17" s="154" customFormat="1" ht="23.25" customHeight="1">
      <c r="A162" s="25"/>
      <c r="B162" s="26" t="s">
        <v>340</v>
      </c>
      <c r="C162" s="229" t="s">
        <v>752</v>
      </c>
      <c r="D162" s="7">
        <v>1635532</v>
      </c>
      <c r="E162" s="15">
        <v>1917450</v>
      </c>
      <c r="F162" s="15">
        <v>0</v>
      </c>
      <c r="G162" s="15">
        <v>0</v>
      </c>
      <c r="H162" s="15">
        <v>1149573</v>
      </c>
      <c r="I162" s="15">
        <v>0</v>
      </c>
      <c r="J162" s="15">
        <v>0</v>
      </c>
      <c r="K162" s="7">
        <v>1298850</v>
      </c>
      <c r="L162" s="7"/>
      <c r="M162" s="15">
        <v>6939</v>
      </c>
      <c r="N162" s="7">
        <f t="shared" si="26"/>
        <v>1291911</v>
      </c>
      <c r="O162" s="15">
        <f t="shared" si="29"/>
        <v>1291911</v>
      </c>
      <c r="P162" s="19">
        <v>0</v>
      </c>
      <c r="Q162" s="19">
        <v>0</v>
      </c>
    </row>
    <row r="163" spans="1:17" s="154" customFormat="1" ht="17.25" customHeight="1">
      <c r="A163" s="25"/>
      <c r="B163" s="26" t="s">
        <v>341</v>
      </c>
      <c r="C163" s="229" t="s">
        <v>342</v>
      </c>
      <c r="D163" s="7">
        <v>15859</v>
      </c>
      <c r="E163" s="15">
        <v>46700</v>
      </c>
      <c r="F163" s="15">
        <v>0</v>
      </c>
      <c r="G163" s="15">
        <v>0</v>
      </c>
      <c r="H163" s="15">
        <v>5200</v>
      </c>
      <c r="I163" s="15">
        <v>0</v>
      </c>
      <c r="J163" s="15">
        <v>0</v>
      </c>
      <c r="K163" s="7">
        <v>175472</v>
      </c>
      <c r="L163" s="7">
        <v>6939</v>
      </c>
      <c r="M163" s="15">
        <v>0</v>
      </c>
      <c r="N163" s="7">
        <f t="shared" si="26"/>
        <v>182411</v>
      </c>
      <c r="O163" s="15">
        <f t="shared" si="29"/>
        <v>182411</v>
      </c>
      <c r="P163" s="19">
        <v>0</v>
      </c>
      <c r="Q163" s="19">
        <v>0</v>
      </c>
    </row>
    <row r="164" spans="1:17" s="154" customFormat="1" ht="15" customHeight="1">
      <c r="A164" s="25"/>
      <c r="B164" s="26" t="s">
        <v>343</v>
      </c>
      <c r="C164" s="229" t="s">
        <v>344</v>
      </c>
      <c r="D164" s="7">
        <v>96233</v>
      </c>
      <c r="E164" s="15">
        <v>146640</v>
      </c>
      <c r="F164" s="15">
        <v>0</v>
      </c>
      <c r="G164" s="15">
        <v>15640</v>
      </c>
      <c r="H164" s="15">
        <v>86500</v>
      </c>
      <c r="I164" s="15">
        <v>0</v>
      </c>
      <c r="J164" s="15">
        <v>0</v>
      </c>
      <c r="K164" s="7">
        <v>116025</v>
      </c>
      <c r="L164" s="7">
        <v>0</v>
      </c>
      <c r="M164" s="15">
        <v>0</v>
      </c>
      <c r="N164" s="7">
        <f t="shared" si="26"/>
        <v>116025</v>
      </c>
      <c r="O164" s="15">
        <f t="shared" si="29"/>
        <v>116025</v>
      </c>
      <c r="P164" s="19">
        <v>0</v>
      </c>
      <c r="Q164" s="19">
        <v>0</v>
      </c>
    </row>
    <row r="165" spans="1:17" s="154" customFormat="1" ht="15" customHeight="1">
      <c r="A165" s="25"/>
      <c r="B165" s="27" t="s">
        <v>293</v>
      </c>
      <c r="C165" s="229" t="s">
        <v>307</v>
      </c>
      <c r="D165" s="7">
        <v>39438</v>
      </c>
      <c r="E165" s="15">
        <v>71560</v>
      </c>
      <c r="F165" s="15">
        <v>0</v>
      </c>
      <c r="G165" s="15">
        <v>26000</v>
      </c>
      <c r="H165" s="15">
        <v>38000</v>
      </c>
      <c r="I165" s="15">
        <v>0</v>
      </c>
      <c r="J165" s="15">
        <v>0</v>
      </c>
      <c r="K165" s="7">
        <v>12269</v>
      </c>
      <c r="L165" s="7">
        <v>0</v>
      </c>
      <c r="M165" s="15"/>
      <c r="N165" s="7">
        <f t="shared" si="26"/>
        <v>12269</v>
      </c>
      <c r="O165" s="15">
        <f t="shared" si="29"/>
        <v>12269</v>
      </c>
      <c r="P165" s="19">
        <v>0</v>
      </c>
      <c r="Q165" s="19">
        <v>0</v>
      </c>
    </row>
    <row r="166" spans="1:17" s="154" customFormat="1" ht="14.25" customHeight="1">
      <c r="A166" s="25"/>
      <c r="B166" s="26" t="s">
        <v>242</v>
      </c>
      <c r="C166" s="229" t="s">
        <v>243</v>
      </c>
      <c r="D166" s="7">
        <v>843962</v>
      </c>
      <c r="E166" s="15">
        <v>12030</v>
      </c>
      <c r="F166" s="15">
        <v>0</v>
      </c>
      <c r="G166" s="15">
        <v>5000</v>
      </c>
      <c r="H166" s="15">
        <v>5410</v>
      </c>
      <c r="I166" s="15">
        <v>0</v>
      </c>
      <c r="J166" s="15">
        <v>0</v>
      </c>
      <c r="K166" s="7">
        <v>677</v>
      </c>
      <c r="L166" s="7">
        <v>0</v>
      </c>
      <c r="M166" s="15"/>
      <c r="N166" s="7">
        <f t="shared" si="26"/>
        <v>677</v>
      </c>
      <c r="O166" s="15">
        <f t="shared" si="29"/>
        <v>677</v>
      </c>
      <c r="P166" s="19">
        <v>0</v>
      </c>
      <c r="Q166" s="19">
        <v>0</v>
      </c>
    </row>
    <row r="167" spans="1:17" s="154" customFormat="1" ht="13.5" customHeight="1">
      <c r="A167" s="25"/>
      <c r="B167" s="26" t="s">
        <v>630</v>
      </c>
      <c r="C167" s="229" t="s">
        <v>631</v>
      </c>
      <c r="D167" s="7"/>
      <c r="E167" s="15"/>
      <c r="F167" s="15"/>
      <c r="G167" s="15"/>
      <c r="H167" s="15"/>
      <c r="I167" s="15"/>
      <c r="J167" s="15"/>
      <c r="K167" s="7">
        <v>96000</v>
      </c>
      <c r="L167" s="7">
        <v>0</v>
      </c>
      <c r="M167" s="15">
        <v>2388</v>
      </c>
      <c r="N167" s="7">
        <f t="shared" si="26"/>
        <v>93612</v>
      </c>
      <c r="O167" s="15">
        <f t="shared" si="29"/>
        <v>93612</v>
      </c>
      <c r="P167" s="19">
        <v>0</v>
      </c>
      <c r="Q167" s="19">
        <v>0</v>
      </c>
    </row>
    <row r="168" spans="1:17" s="154" customFormat="1" ht="15.75" customHeight="1">
      <c r="A168" s="25"/>
      <c r="B168" s="26" t="s">
        <v>244</v>
      </c>
      <c r="C168" s="229" t="s">
        <v>245</v>
      </c>
      <c r="D168" s="7"/>
      <c r="E168" s="15">
        <v>296300</v>
      </c>
      <c r="F168" s="15">
        <v>62410</v>
      </c>
      <c r="G168" s="15">
        <v>0</v>
      </c>
      <c r="H168" s="15">
        <v>173952</v>
      </c>
      <c r="I168" s="15">
        <v>0</v>
      </c>
      <c r="J168" s="15">
        <v>0</v>
      </c>
      <c r="K168" s="7">
        <v>256290</v>
      </c>
      <c r="L168" s="7">
        <v>16427</v>
      </c>
      <c r="M168" s="15">
        <v>0</v>
      </c>
      <c r="N168" s="7">
        <f t="shared" si="26"/>
        <v>272717</v>
      </c>
      <c r="O168" s="15">
        <f>N168-P168</f>
        <v>212717</v>
      </c>
      <c r="P168" s="19">
        <v>60000</v>
      </c>
      <c r="Q168" s="19">
        <v>0</v>
      </c>
    </row>
    <row r="169" spans="1:17" s="154" customFormat="1" ht="14.25" customHeight="1">
      <c r="A169" s="25"/>
      <c r="B169" s="26" t="s">
        <v>348</v>
      </c>
      <c r="C169" s="229" t="s">
        <v>349</v>
      </c>
      <c r="D169" s="7"/>
      <c r="E169" s="15">
        <v>0</v>
      </c>
      <c r="F169" s="15"/>
      <c r="G169" s="15"/>
      <c r="H169" s="15">
        <v>88000</v>
      </c>
      <c r="I169" s="15">
        <v>0</v>
      </c>
      <c r="J169" s="15">
        <v>0</v>
      </c>
      <c r="K169" s="7">
        <v>20000</v>
      </c>
      <c r="L169" s="7"/>
      <c r="M169" s="15">
        <v>2134</v>
      </c>
      <c r="N169" s="7">
        <f t="shared" si="26"/>
        <v>17866</v>
      </c>
      <c r="O169" s="15">
        <f t="shared" si="29"/>
        <v>17866</v>
      </c>
      <c r="P169" s="19">
        <v>0</v>
      </c>
      <c r="Q169" s="19">
        <v>0</v>
      </c>
    </row>
    <row r="170" spans="1:17" s="154" customFormat="1" ht="15.75" customHeight="1">
      <c r="A170" s="25"/>
      <c r="B170" s="26" t="s">
        <v>246</v>
      </c>
      <c r="C170" s="229" t="s">
        <v>350</v>
      </c>
      <c r="D170" s="7"/>
      <c r="E170" s="15">
        <v>25000</v>
      </c>
      <c r="F170" s="15">
        <v>0</v>
      </c>
      <c r="G170" s="15">
        <v>5100</v>
      </c>
      <c r="H170" s="15">
        <v>17000</v>
      </c>
      <c r="I170" s="15">
        <v>0</v>
      </c>
      <c r="J170" s="15">
        <v>0</v>
      </c>
      <c r="K170" s="7">
        <v>18000</v>
      </c>
      <c r="L170" s="7"/>
      <c r="M170" s="15">
        <v>1000</v>
      </c>
      <c r="N170" s="7">
        <f t="shared" si="26"/>
        <v>17000</v>
      </c>
      <c r="O170" s="15">
        <f t="shared" si="29"/>
        <v>17000</v>
      </c>
      <c r="P170" s="19">
        <v>0</v>
      </c>
      <c r="Q170" s="19">
        <v>0</v>
      </c>
    </row>
    <row r="171" spans="1:17" s="154" customFormat="1" ht="15.75" customHeight="1">
      <c r="A171" s="25"/>
      <c r="B171" s="26" t="s">
        <v>248</v>
      </c>
      <c r="C171" s="229" t="s">
        <v>351</v>
      </c>
      <c r="D171" s="7"/>
      <c r="E171" s="15">
        <v>10000</v>
      </c>
      <c r="F171" s="15">
        <v>5000</v>
      </c>
      <c r="G171" s="15">
        <v>0</v>
      </c>
      <c r="H171" s="15">
        <v>43545</v>
      </c>
      <c r="I171" s="15">
        <v>0</v>
      </c>
      <c r="J171" s="15">
        <v>0</v>
      </c>
      <c r="K171" s="7">
        <v>18000</v>
      </c>
      <c r="L171" s="7">
        <v>0</v>
      </c>
      <c r="M171" s="15">
        <v>2939</v>
      </c>
      <c r="N171" s="7">
        <f t="shared" si="26"/>
        <v>15061</v>
      </c>
      <c r="O171" s="15">
        <f t="shared" si="29"/>
        <v>15061</v>
      </c>
      <c r="P171" s="19">
        <v>0</v>
      </c>
      <c r="Q171" s="19">
        <v>0</v>
      </c>
    </row>
    <row r="172" spans="1:17" s="154" customFormat="1" ht="15" customHeight="1">
      <c r="A172" s="25"/>
      <c r="B172" s="26" t="s">
        <v>314</v>
      </c>
      <c r="C172" s="229" t="s">
        <v>315</v>
      </c>
      <c r="D172" s="7"/>
      <c r="E172" s="15"/>
      <c r="F172" s="15"/>
      <c r="G172" s="15"/>
      <c r="H172" s="15"/>
      <c r="I172" s="15"/>
      <c r="J172" s="15"/>
      <c r="K172" s="7">
        <v>14520</v>
      </c>
      <c r="L172" s="7"/>
      <c r="M172" s="15">
        <v>999</v>
      </c>
      <c r="N172" s="7">
        <f t="shared" si="26"/>
        <v>13521</v>
      </c>
      <c r="O172" s="15">
        <f t="shared" si="29"/>
        <v>13521</v>
      </c>
      <c r="P172" s="19">
        <v>0</v>
      </c>
      <c r="Q172" s="19">
        <v>0</v>
      </c>
    </row>
    <row r="173" spans="1:17" s="154" customFormat="1" ht="15.75" customHeight="1">
      <c r="A173" s="25"/>
      <c r="B173" s="26" t="s">
        <v>250</v>
      </c>
      <c r="C173" s="229" t="s">
        <v>352</v>
      </c>
      <c r="D173" s="7"/>
      <c r="E173" s="15">
        <v>58800</v>
      </c>
      <c r="F173" s="15">
        <v>10000</v>
      </c>
      <c r="G173" s="15">
        <v>0</v>
      </c>
      <c r="H173" s="15">
        <v>56000</v>
      </c>
      <c r="I173" s="15">
        <v>0</v>
      </c>
      <c r="J173" s="15">
        <v>0</v>
      </c>
      <c r="K173" s="7">
        <v>53000</v>
      </c>
      <c r="L173" s="7">
        <v>0</v>
      </c>
      <c r="M173" s="15">
        <v>1746</v>
      </c>
      <c r="N173" s="7">
        <f t="shared" si="26"/>
        <v>51254</v>
      </c>
      <c r="O173" s="15">
        <f>N173-P173</f>
        <v>51254</v>
      </c>
      <c r="P173" s="19">
        <v>0</v>
      </c>
      <c r="Q173" s="19">
        <v>0</v>
      </c>
    </row>
    <row r="174" spans="1:17" s="154" customFormat="1" ht="15.75" customHeight="1">
      <c r="A174" s="25"/>
      <c r="B174" s="26" t="s">
        <v>252</v>
      </c>
      <c r="C174" s="229" t="s">
        <v>253</v>
      </c>
      <c r="D174" s="7"/>
      <c r="E174" s="15">
        <v>25000</v>
      </c>
      <c r="F174" s="15">
        <v>0</v>
      </c>
      <c r="G174" s="15">
        <v>17000</v>
      </c>
      <c r="H174" s="15">
        <v>8000</v>
      </c>
      <c r="I174" s="15">
        <v>0</v>
      </c>
      <c r="J174" s="15">
        <v>0</v>
      </c>
      <c r="K174" s="7">
        <v>7000</v>
      </c>
      <c r="L174" s="7"/>
      <c r="M174" s="15">
        <v>2596</v>
      </c>
      <c r="N174" s="7">
        <f t="shared" si="26"/>
        <v>4404</v>
      </c>
      <c r="O174" s="15">
        <f t="shared" si="29"/>
        <v>4404</v>
      </c>
      <c r="P174" s="19">
        <v>0</v>
      </c>
      <c r="Q174" s="19">
        <v>0</v>
      </c>
    </row>
    <row r="175" spans="1:17" s="154" customFormat="1" ht="14.25" customHeight="1">
      <c r="A175" s="25"/>
      <c r="B175" s="26" t="s">
        <v>254</v>
      </c>
      <c r="C175" s="229" t="s">
        <v>255</v>
      </c>
      <c r="D175" s="7"/>
      <c r="E175" s="15">
        <v>0</v>
      </c>
      <c r="F175" s="15"/>
      <c r="G175" s="15"/>
      <c r="H175" s="15">
        <v>7000</v>
      </c>
      <c r="I175" s="15">
        <v>0</v>
      </c>
      <c r="J175" s="15">
        <v>0</v>
      </c>
      <c r="K175" s="7">
        <v>8000</v>
      </c>
      <c r="L175" s="7"/>
      <c r="M175" s="15">
        <v>1643</v>
      </c>
      <c r="N175" s="7">
        <f t="shared" si="26"/>
        <v>6357</v>
      </c>
      <c r="O175" s="15">
        <f t="shared" si="29"/>
        <v>6357</v>
      </c>
      <c r="P175" s="19">
        <v>0</v>
      </c>
      <c r="Q175" s="19">
        <v>0</v>
      </c>
    </row>
    <row r="176" spans="1:17" s="154" customFormat="1" ht="12.75" customHeight="1">
      <c r="A176" s="25"/>
      <c r="B176" s="26" t="s">
        <v>256</v>
      </c>
      <c r="C176" s="229" t="s">
        <v>257</v>
      </c>
      <c r="D176" s="7"/>
      <c r="E176" s="15">
        <v>2000</v>
      </c>
      <c r="F176" s="15">
        <v>0</v>
      </c>
      <c r="G176" s="15">
        <v>1173</v>
      </c>
      <c r="H176" s="15">
        <v>676</v>
      </c>
      <c r="I176" s="15">
        <v>0</v>
      </c>
      <c r="J176" s="15">
        <v>0</v>
      </c>
      <c r="K176" s="7">
        <v>766</v>
      </c>
      <c r="L176" s="7"/>
      <c r="M176" s="15">
        <v>2</v>
      </c>
      <c r="N176" s="7">
        <f t="shared" si="26"/>
        <v>764</v>
      </c>
      <c r="O176" s="15">
        <f t="shared" si="29"/>
        <v>764</v>
      </c>
      <c r="P176" s="19">
        <v>0</v>
      </c>
      <c r="Q176" s="19">
        <v>0</v>
      </c>
    </row>
    <row r="177" spans="1:17" s="154" customFormat="1" ht="14.25" customHeight="1">
      <c r="A177" s="25"/>
      <c r="B177" s="26" t="s">
        <v>313</v>
      </c>
      <c r="C177" s="229" t="s">
        <v>336</v>
      </c>
      <c r="D177" s="7">
        <v>62500</v>
      </c>
      <c r="E177" s="15">
        <v>160</v>
      </c>
      <c r="F177" s="15">
        <v>0</v>
      </c>
      <c r="G177" s="15">
        <v>0</v>
      </c>
      <c r="H177" s="15">
        <v>160</v>
      </c>
      <c r="I177" s="15">
        <v>0</v>
      </c>
      <c r="J177" s="15">
        <v>0</v>
      </c>
      <c r="K177" s="7">
        <v>10471</v>
      </c>
      <c r="L177" s="7"/>
      <c r="M177" s="15">
        <v>0</v>
      </c>
      <c r="N177" s="7">
        <f t="shared" si="26"/>
        <v>10471</v>
      </c>
      <c r="O177" s="15">
        <f t="shared" si="29"/>
        <v>10471</v>
      </c>
      <c r="P177" s="19">
        <v>0</v>
      </c>
      <c r="Q177" s="19">
        <v>0</v>
      </c>
    </row>
    <row r="178" spans="1:17" s="154" customFormat="1" ht="13.5" customHeight="1">
      <c r="A178" s="25"/>
      <c r="B178" s="26" t="s">
        <v>355</v>
      </c>
      <c r="C178" s="229" t="s">
        <v>634</v>
      </c>
      <c r="D178" s="7"/>
      <c r="E178" s="15"/>
      <c r="F178" s="15"/>
      <c r="G178" s="15"/>
      <c r="H178" s="15"/>
      <c r="I178" s="15"/>
      <c r="J178" s="15"/>
      <c r="K178" s="7">
        <v>160</v>
      </c>
      <c r="L178" s="7"/>
      <c r="M178" s="15"/>
      <c r="N178" s="7">
        <f t="shared" si="26"/>
        <v>160</v>
      </c>
      <c r="O178" s="15">
        <f t="shared" si="29"/>
        <v>160</v>
      </c>
      <c r="P178" s="19">
        <v>0</v>
      </c>
      <c r="Q178" s="19">
        <v>0</v>
      </c>
    </row>
    <row r="179" spans="1:17" s="154" customFormat="1" ht="15" customHeight="1">
      <c r="A179" s="25"/>
      <c r="B179" s="26" t="s">
        <v>276</v>
      </c>
      <c r="C179" s="107" t="s">
        <v>165</v>
      </c>
      <c r="D179" s="7"/>
      <c r="E179" s="15"/>
      <c r="F179" s="15"/>
      <c r="G179" s="15"/>
      <c r="H179" s="15"/>
      <c r="I179" s="15"/>
      <c r="J179" s="15"/>
      <c r="K179" s="7">
        <v>30000</v>
      </c>
      <c r="L179" s="249">
        <v>0</v>
      </c>
      <c r="M179" s="15"/>
      <c r="N179" s="7">
        <f t="shared" si="26"/>
        <v>30000</v>
      </c>
      <c r="O179" s="15"/>
      <c r="P179" s="19">
        <f>N179</f>
        <v>30000</v>
      </c>
      <c r="Q179" s="19"/>
    </row>
    <row r="180" spans="1:17" s="154" customFormat="1" ht="18" customHeight="1">
      <c r="A180" s="167" t="s">
        <v>632</v>
      </c>
      <c r="B180" s="178"/>
      <c r="C180" s="168" t="s">
        <v>418</v>
      </c>
      <c r="D180" s="140"/>
      <c r="E180" s="140"/>
      <c r="F180" s="140"/>
      <c r="G180" s="140"/>
      <c r="H180" s="140"/>
      <c r="I180" s="140"/>
      <c r="J180" s="140"/>
      <c r="K180" s="401">
        <f>K181+K182+K183+K184</f>
        <v>3000</v>
      </c>
      <c r="L180" s="401">
        <f>L181+L182+L183+L184</f>
        <v>0</v>
      </c>
      <c r="M180" s="401">
        <f>M181+M182+M183+M184</f>
        <v>0</v>
      </c>
      <c r="N180" s="401">
        <f>SUM(N181:N184)</f>
        <v>3000</v>
      </c>
      <c r="O180" s="140">
        <f t="shared" si="29"/>
        <v>3000</v>
      </c>
      <c r="P180" s="186">
        <f>SUM(P183:P184)</f>
        <v>0</v>
      </c>
      <c r="Q180" s="186">
        <f>SUM(Q183:Q184)</f>
        <v>0</v>
      </c>
    </row>
    <row r="181" spans="1:17" s="154" customFormat="1" ht="16.5" customHeight="1">
      <c r="A181" s="230"/>
      <c r="B181" s="417" t="s">
        <v>218</v>
      </c>
      <c r="C181" s="107" t="s">
        <v>26</v>
      </c>
      <c r="D181" s="159"/>
      <c r="E181" s="159"/>
      <c r="F181" s="159"/>
      <c r="G181" s="159"/>
      <c r="H181" s="159"/>
      <c r="I181" s="159"/>
      <c r="J181" s="159"/>
      <c r="K181" s="402">
        <v>36</v>
      </c>
      <c r="L181" s="402">
        <v>0</v>
      </c>
      <c r="M181" s="402"/>
      <c r="N181" s="402">
        <f>K181+L181+-M181</f>
        <v>36</v>
      </c>
      <c r="O181" s="159">
        <f>N181</f>
        <v>36</v>
      </c>
      <c r="P181" s="159">
        <v>0</v>
      </c>
      <c r="Q181" s="159">
        <v>0</v>
      </c>
    </row>
    <row r="182" spans="1:17" s="154" customFormat="1" ht="16.5" customHeight="1">
      <c r="A182" s="391"/>
      <c r="B182" s="26" t="s">
        <v>97</v>
      </c>
      <c r="C182" s="107" t="s">
        <v>627</v>
      </c>
      <c r="D182" s="392"/>
      <c r="E182" s="392"/>
      <c r="F182" s="392"/>
      <c r="G182" s="392"/>
      <c r="H182" s="392"/>
      <c r="I182" s="392"/>
      <c r="J182" s="392"/>
      <c r="K182" s="402" t="s">
        <v>277</v>
      </c>
      <c r="L182" s="395">
        <v>0</v>
      </c>
      <c r="M182" s="394">
        <v>0</v>
      </c>
      <c r="N182" s="159">
        <f t="shared" si="26"/>
        <v>700</v>
      </c>
      <c r="O182" s="159">
        <f t="shared" si="29"/>
        <v>700</v>
      </c>
      <c r="P182" s="393"/>
      <c r="Q182" s="393"/>
    </row>
    <row r="183" spans="1:17" s="154" customFormat="1" ht="16.5" customHeight="1">
      <c r="A183" s="12"/>
      <c r="B183" s="26" t="s">
        <v>244</v>
      </c>
      <c r="C183" s="107" t="s">
        <v>245</v>
      </c>
      <c r="D183" s="6"/>
      <c r="E183" s="6"/>
      <c r="F183" s="6"/>
      <c r="G183" s="6"/>
      <c r="H183" s="6"/>
      <c r="I183" s="6"/>
      <c r="J183" s="6"/>
      <c r="K183" s="15">
        <v>1153</v>
      </c>
      <c r="L183" s="396">
        <v>0</v>
      </c>
      <c r="M183" s="15">
        <v>0</v>
      </c>
      <c r="N183" s="7">
        <f t="shared" si="26"/>
        <v>1153</v>
      </c>
      <c r="O183" s="15">
        <f t="shared" si="29"/>
        <v>1153</v>
      </c>
      <c r="P183" s="16">
        <v>0</v>
      </c>
      <c r="Q183" s="16">
        <v>0</v>
      </c>
    </row>
    <row r="184" spans="1:17" s="154" customFormat="1" ht="16.5" customHeight="1">
      <c r="A184" s="12"/>
      <c r="B184" s="26" t="s">
        <v>250</v>
      </c>
      <c r="C184" s="229" t="s">
        <v>222</v>
      </c>
      <c r="D184" s="6"/>
      <c r="E184" s="6"/>
      <c r="F184" s="6"/>
      <c r="G184" s="6"/>
      <c r="H184" s="6"/>
      <c r="I184" s="6"/>
      <c r="J184" s="6"/>
      <c r="K184" s="15">
        <v>1111</v>
      </c>
      <c r="L184" s="396">
        <v>0</v>
      </c>
      <c r="M184" s="15">
        <v>0</v>
      </c>
      <c r="N184" s="7">
        <f t="shared" si="26"/>
        <v>1111</v>
      </c>
      <c r="O184" s="15">
        <f t="shared" si="29"/>
        <v>1111</v>
      </c>
      <c r="P184" s="16">
        <v>0</v>
      </c>
      <c r="Q184" s="16">
        <v>0</v>
      </c>
    </row>
    <row r="185" spans="1:17" s="154" customFormat="1" ht="23.25" customHeight="1">
      <c r="A185" s="144" t="s">
        <v>366</v>
      </c>
      <c r="B185" s="148"/>
      <c r="C185" s="150" t="s">
        <v>695</v>
      </c>
      <c r="D185" s="145" t="e">
        <f>D186+#REF!</f>
        <v>#REF!</v>
      </c>
      <c r="E185" s="145" t="e">
        <f>E186+#REF!</f>
        <v>#REF!</v>
      </c>
      <c r="F185" s="145" t="e">
        <f>F186+#REF!</f>
        <v>#REF!</v>
      </c>
      <c r="G185" s="145" t="e">
        <f>G186+#REF!</f>
        <v>#REF!</v>
      </c>
      <c r="H185" s="145" t="e">
        <f>H186+#REF!</f>
        <v>#REF!</v>
      </c>
      <c r="I185" s="145" t="e">
        <f>I186+#REF!</f>
        <v>#REF!</v>
      </c>
      <c r="J185" s="145" t="e">
        <f>J186+#REF!</f>
        <v>#REF!</v>
      </c>
      <c r="K185" s="145">
        <f>K186+K189</f>
        <v>525200</v>
      </c>
      <c r="L185" s="145">
        <f>L186+L189</f>
        <v>0</v>
      </c>
      <c r="M185" s="145">
        <f>M186+M189</f>
        <v>98450</v>
      </c>
      <c r="N185" s="145">
        <f t="shared" si="26"/>
        <v>426750</v>
      </c>
      <c r="O185" s="145">
        <f>O186+O189</f>
        <v>0</v>
      </c>
      <c r="P185" s="147">
        <f>P186+P189</f>
        <v>426750</v>
      </c>
      <c r="Q185" s="147">
        <f>Q186+Q189</f>
        <v>0</v>
      </c>
    </row>
    <row r="186" spans="1:17" s="154" customFormat="1" ht="27" customHeight="1">
      <c r="A186" s="167" t="s">
        <v>367</v>
      </c>
      <c r="B186" s="178"/>
      <c r="C186" s="235" t="s">
        <v>368</v>
      </c>
      <c r="D186" s="140">
        <f>D188</f>
        <v>2700</v>
      </c>
      <c r="E186" s="140">
        <f>E188</f>
        <v>360000</v>
      </c>
      <c r="F186" s="140">
        <f>F188</f>
        <v>0</v>
      </c>
      <c r="G186" s="140">
        <f>G188</f>
        <v>0</v>
      </c>
      <c r="H186" s="140">
        <f>H188+H189</f>
        <v>496142</v>
      </c>
      <c r="I186" s="140">
        <f>I188+I189</f>
        <v>0</v>
      </c>
      <c r="J186" s="140">
        <f>J188+J189</f>
        <v>0</v>
      </c>
      <c r="K186" s="140">
        <f>K187+K188</f>
        <v>525200</v>
      </c>
      <c r="L186" s="140">
        <f>L187+L188</f>
        <v>0</v>
      </c>
      <c r="M186" s="140">
        <f>M187+M188</f>
        <v>98450</v>
      </c>
      <c r="N186" s="140">
        <f t="shared" si="26"/>
        <v>426750</v>
      </c>
      <c r="O186" s="140">
        <f>O187+O188</f>
        <v>0</v>
      </c>
      <c r="P186" s="140">
        <f>P187+P188</f>
        <v>426750</v>
      </c>
      <c r="Q186" s="140">
        <f>Q187+Q188</f>
        <v>0</v>
      </c>
    </row>
    <row r="187" spans="1:17" s="154" customFormat="1" ht="14.25" customHeight="1">
      <c r="A187" s="230"/>
      <c r="B187" s="417" t="s">
        <v>250</v>
      </c>
      <c r="C187" s="229" t="s">
        <v>222</v>
      </c>
      <c r="D187" s="231"/>
      <c r="E187" s="231"/>
      <c r="F187" s="231"/>
      <c r="G187" s="231"/>
      <c r="H187" s="231"/>
      <c r="I187" s="231"/>
      <c r="J187" s="231"/>
      <c r="K187" s="159">
        <v>20200</v>
      </c>
      <c r="L187" s="159">
        <v>0</v>
      </c>
      <c r="M187" s="159">
        <v>15450</v>
      </c>
      <c r="N187" s="159">
        <f t="shared" si="26"/>
        <v>4750</v>
      </c>
      <c r="O187" s="159"/>
      <c r="P187" s="159">
        <f>N187</f>
        <v>4750</v>
      </c>
      <c r="Q187" s="159"/>
    </row>
    <row r="188" spans="1:17" s="154" customFormat="1" ht="15" customHeight="1">
      <c r="A188" s="25"/>
      <c r="B188" s="26" t="s">
        <v>369</v>
      </c>
      <c r="C188" s="229" t="s">
        <v>201</v>
      </c>
      <c r="D188" s="7">
        <v>2700</v>
      </c>
      <c r="E188" s="15">
        <v>360000</v>
      </c>
      <c r="F188" s="15">
        <v>0</v>
      </c>
      <c r="G188" s="15">
        <v>0</v>
      </c>
      <c r="H188" s="15">
        <v>463742</v>
      </c>
      <c r="I188" s="15">
        <v>0</v>
      </c>
      <c r="J188" s="15">
        <v>0</v>
      </c>
      <c r="K188" s="7">
        <v>505000</v>
      </c>
      <c r="L188" s="7"/>
      <c r="M188" s="15">
        <v>83000</v>
      </c>
      <c r="N188" s="7">
        <f t="shared" si="26"/>
        <v>422000</v>
      </c>
      <c r="O188" s="15">
        <v>0</v>
      </c>
      <c r="P188" s="19">
        <f>N188</f>
        <v>422000</v>
      </c>
      <c r="Q188" s="19">
        <v>0</v>
      </c>
    </row>
    <row r="189" spans="1:17" s="153" customFormat="1" ht="35.25" customHeight="1">
      <c r="A189" s="167" t="s">
        <v>370</v>
      </c>
      <c r="B189" s="178"/>
      <c r="C189" s="235" t="s">
        <v>509</v>
      </c>
      <c r="D189" s="140">
        <v>0</v>
      </c>
      <c r="E189" s="140">
        <v>390000</v>
      </c>
      <c r="F189" s="140">
        <v>0</v>
      </c>
      <c r="G189" s="140">
        <v>0</v>
      </c>
      <c r="H189" s="140">
        <v>32400</v>
      </c>
      <c r="I189" s="140">
        <v>0</v>
      </c>
      <c r="J189" s="140">
        <v>0</v>
      </c>
      <c r="K189" s="140">
        <f>K190+K191</f>
        <v>0</v>
      </c>
      <c r="L189" s="140">
        <f>L190+L191</f>
        <v>0</v>
      </c>
      <c r="M189" s="140">
        <f>M190+M191</f>
        <v>0</v>
      </c>
      <c r="N189" s="232">
        <f t="shared" si="26"/>
        <v>0</v>
      </c>
      <c r="O189" s="140">
        <f>O190+O191</f>
        <v>0</v>
      </c>
      <c r="P189" s="140">
        <f>P190+P191</f>
        <v>0</v>
      </c>
      <c r="Q189" s="140">
        <v>0</v>
      </c>
    </row>
    <row r="190" spans="1:17" s="153" customFormat="1" ht="17.25" customHeight="1">
      <c r="A190" s="25"/>
      <c r="B190" s="26" t="s">
        <v>371</v>
      </c>
      <c r="C190" s="229" t="s">
        <v>27</v>
      </c>
      <c r="D190" s="15"/>
      <c r="E190" s="15"/>
      <c r="F190" s="15"/>
      <c r="G190" s="15"/>
      <c r="H190" s="15"/>
      <c r="I190" s="15"/>
      <c r="J190" s="15"/>
      <c r="K190" s="15">
        <v>0</v>
      </c>
      <c r="L190" s="15"/>
      <c r="M190" s="15">
        <v>0</v>
      </c>
      <c r="N190" s="7">
        <f t="shared" si="26"/>
        <v>0</v>
      </c>
      <c r="O190" s="6">
        <f>O191+O192</f>
        <v>0</v>
      </c>
      <c r="P190" s="15">
        <f>N190</f>
        <v>0</v>
      </c>
      <c r="Q190" s="15"/>
    </row>
    <row r="191" spans="1:17" s="154" customFormat="1" ht="15" customHeight="1">
      <c r="A191" s="25"/>
      <c r="B191" s="26" t="s">
        <v>371</v>
      </c>
      <c r="C191" s="229" t="s">
        <v>27</v>
      </c>
      <c r="D191" s="7"/>
      <c r="E191" s="15"/>
      <c r="F191" s="15"/>
      <c r="G191" s="15"/>
      <c r="H191" s="15"/>
      <c r="I191" s="15"/>
      <c r="J191" s="15"/>
      <c r="K191" s="15">
        <v>0</v>
      </c>
      <c r="L191" s="15"/>
      <c r="M191" s="15">
        <v>0</v>
      </c>
      <c r="N191" s="7">
        <f aca="true" t="shared" si="30" ref="N191:N249">K191+L191-M191</f>
        <v>0</v>
      </c>
      <c r="O191" s="15">
        <v>0</v>
      </c>
      <c r="P191" s="15">
        <f>N191</f>
        <v>0</v>
      </c>
      <c r="Q191" s="16">
        <v>0</v>
      </c>
    </row>
    <row r="192" spans="1:17" s="154" customFormat="1" ht="18.75" customHeight="1">
      <c r="A192" s="144" t="s">
        <v>372</v>
      </c>
      <c r="B192" s="148"/>
      <c r="C192" s="150" t="s">
        <v>373</v>
      </c>
      <c r="D192" s="145" t="e">
        <f aca="true" t="shared" si="31" ref="D192:Q192">D193</f>
        <v>#REF!</v>
      </c>
      <c r="E192" s="145" t="e">
        <f t="shared" si="31"/>
        <v>#REF!</v>
      </c>
      <c r="F192" s="145">
        <f t="shared" si="31"/>
        <v>0</v>
      </c>
      <c r="G192" s="145">
        <f t="shared" si="31"/>
        <v>0</v>
      </c>
      <c r="H192" s="145">
        <f aca="true" t="shared" si="32" ref="H192:M192">H193</f>
        <v>53260</v>
      </c>
      <c r="I192" s="145">
        <f t="shared" si="32"/>
        <v>0</v>
      </c>
      <c r="J192" s="145">
        <f t="shared" si="32"/>
        <v>0</v>
      </c>
      <c r="K192" s="145">
        <f t="shared" si="32"/>
        <v>0</v>
      </c>
      <c r="L192" s="145">
        <f t="shared" si="32"/>
        <v>0</v>
      </c>
      <c r="M192" s="145">
        <f t="shared" si="32"/>
        <v>0</v>
      </c>
      <c r="N192" s="145">
        <f t="shared" si="30"/>
        <v>0</v>
      </c>
      <c r="O192" s="145">
        <f t="shared" si="31"/>
        <v>0</v>
      </c>
      <c r="P192" s="147">
        <f t="shared" si="31"/>
        <v>0</v>
      </c>
      <c r="Q192" s="147">
        <f t="shared" si="31"/>
        <v>0</v>
      </c>
    </row>
    <row r="193" spans="1:17" s="154" customFormat="1" ht="17.25" customHeight="1">
      <c r="A193" s="167" t="s">
        <v>374</v>
      </c>
      <c r="B193" s="178"/>
      <c r="C193" s="168" t="s">
        <v>375</v>
      </c>
      <c r="D193" s="140" t="e">
        <f>D194+D195+#REF!</f>
        <v>#REF!</v>
      </c>
      <c r="E193" s="140" t="e">
        <f>E194+E195+#REF!</f>
        <v>#REF!</v>
      </c>
      <c r="F193" s="140">
        <f aca="true" t="shared" si="33" ref="F193:Q193">F194+F195</f>
        <v>0</v>
      </c>
      <c r="G193" s="140">
        <f t="shared" si="33"/>
        <v>0</v>
      </c>
      <c r="H193" s="140">
        <f t="shared" si="33"/>
        <v>53260</v>
      </c>
      <c r="I193" s="140">
        <f t="shared" si="33"/>
        <v>0</v>
      </c>
      <c r="J193" s="140">
        <f t="shared" si="33"/>
        <v>0</v>
      </c>
      <c r="K193" s="140">
        <f>K194+K195</f>
        <v>0</v>
      </c>
      <c r="L193" s="140">
        <f>L194+L195</f>
        <v>0</v>
      </c>
      <c r="M193" s="140">
        <f>M194+M195</f>
        <v>0</v>
      </c>
      <c r="N193" s="140">
        <f t="shared" si="30"/>
        <v>0</v>
      </c>
      <c r="O193" s="140">
        <f t="shared" si="33"/>
        <v>0</v>
      </c>
      <c r="P193" s="140">
        <f t="shared" si="33"/>
        <v>0</v>
      </c>
      <c r="Q193" s="138">
        <f t="shared" si="33"/>
        <v>0</v>
      </c>
    </row>
    <row r="194" spans="1:17" s="154" customFormat="1" ht="15.75" customHeight="1">
      <c r="A194" s="25"/>
      <c r="B194" s="26" t="s">
        <v>376</v>
      </c>
      <c r="C194" s="229" t="s">
        <v>377</v>
      </c>
      <c r="D194" s="7">
        <v>0</v>
      </c>
      <c r="E194" s="15">
        <v>0</v>
      </c>
      <c r="F194" s="15">
        <v>0</v>
      </c>
      <c r="G194" s="15">
        <v>0</v>
      </c>
      <c r="H194" s="7">
        <v>18000</v>
      </c>
      <c r="I194" s="7"/>
      <c r="J194" s="7">
        <v>0</v>
      </c>
      <c r="K194" s="7">
        <v>0</v>
      </c>
      <c r="L194" s="7"/>
      <c r="M194" s="7"/>
      <c r="N194" s="7">
        <f t="shared" si="30"/>
        <v>0</v>
      </c>
      <c r="O194" s="15">
        <v>0</v>
      </c>
      <c r="P194" s="19">
        <f>K194</f>
        <v>0</v>
      </c>
      <c r="Q194" s="19">
        <v>0</v>
      </c>
    </row>
    <row r="195" spans="1:17" s="154" customFormat="1" ht="16.5" customHeight="1">
      <c r="A195" s="25"/>
      <c r="B195" s="26" t="s">
        <v>376</v>
      </c>
      <c r="C195" s="229" t="s">
        <v>378</v>
      </c>
      <c r="D195" s="7">
        <v>0</v>
      </c>
      <c r="E195" s="15">
        <v>0</v>
      </c>
      <c r="F195" s="15">
        <v>0</v>
      </c>
      <c r="G195" s="15">
        <v>0</v>
      </c>
      <c r="H195" s="7">
        <v>35260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f>K195+L195-M195</f>
        <v>0</v>
      </c>
      <c r="O195" s="15">
        <v>0</v>
      </c>
      <c r="P195" s="19">
        <f>N195</f>
        <v>0</v>
      </c>
      <c r="Q195" s="19">
        <v>0</v>
      </c>
    </row>
    <row r="196" spans="1:17" s="154" customFormat="1" ht="24.75" customHeight="1">
      <c r="A196" s="144" t="s">
        <v>379</v>
      </c>
      <c r="B196" s="148"/>
      <c r="C196" s="150" t="s">
        <v>380</v>
      </c>
      <c r="D196" s="145" t="e">
        <f>D197+D213+D224+#REF!+D255+#REF!+D281+#REF!</f>
        <v>#REF!</v>
      </c>
      <c r="E196" s="145" t="e">
        <f>E197+E213+E224+#REF!+E255+#REF!+E281+#REF!+#REF!+E294+E291+#REF!</f>
        <v>#REF!</v>
      </c>
      <c r="F196" s="145" t="e">
        <f>F197+F213+F224+F255+#REF!+#REF!+F281+#REF!+F291+F294+#REF!+#REF!</f>
        <v>#REF!</v>
      </c>
      <c r="G196" s="145" t="e">
        <f>G197+G213+G224+G255+#REF!+#REF!+G281+#REF!+G291+G294+#REF!+#REF!</f>
        <v>#REF!</v>
      </c>
      <c r="H196" s="145" t="e">
        <f>H197+H211+H213+H224+H246+H255+H281+H291+H294+#REF!</f>
        <v>#REF!</v>
      </c>
      <c r="I196" s="145" t="e">
        <f>I197+I211+I213+I224+I246+I255+I281+I291+I294+#REF!</f>
        <v>#REF!</v>
      </c>
      <c r="J196" s="145" t="e">
        <f>J197+J211+J213+J224+J246+J255+J281+J291+J294+#REF!</f>
        <v>#REF!</v>
      </c>
      <c r="K196" s="145">
        <f>K197+K211+K213+K224+K246+K255+K281+K291+K294+K302</f>
        <v>10976765</v>
      </c>
      <c r="L196" s="145">
        <f>L197+L211+L213+L224+L246+L255+L281+L291+L294+L302</f>
        <v>199849</v>
      </c>
      <c r="M196" s="145">
        <f>M197+M211+M213+M224+M246+M255+M281+M291+M294+M302</f>
        <v>272039</v>
      </c>
      <c r="N196" s="145">
        <f t="shared" si="30"/>
        <v>10904575</v>
      </c>
      <c r="O196" s="145">
        <f>O197+O211+O213+O224+O246+O255+O281+O291+O294</f>
        <v>0</v>
      </c>
      <c r="P196" s="145">
        <f>P197+P211+P213+P224+P246+P255+P281+P291+P294+P302</f>
        <v>10892575</v>
      </c>
      <c r="Q196" s="145">
        <f>Q197+Q211+Q213+Q224+Q246+Q255+Q281+Q291+Q294</f>
        <v>12000</v>
      </c>
    </row>
    <row r="197" spans="1:17" s="154" customFormat="1" ht="20.25" customHeight="1">
      <c r="A197" s="167" t="s">
        <v>381</v>
      </c>
      <c r="B197" s="178"/>
      <c r="C197" s="168" t="s">
        <v>382</v>
      </c>
      <c r="D197" s="140" t="e">
        <f>D199+D200+D201+#REF!</f>
        <v>#REF!</v>
      </c>
      <c r="E197" s="140" t="e">
        <f>E199+E200+E201+E202+E198+E204+#REF!+E205+#REF!+E207+E208+E209</f>
        <v>#REF!</v>
      </c>
      <c r="F197" s="140" t="e">
        <f>F199+F200+F201+F202+F198+F204+#REF!+F205+#REF!+F207+F208+F209</f>
        <v>#REF!</v>
      </c>
      <c r="G197" s="140" t="e">
        <f>G199+G200+G201+G202+G198+G204+#REF!+G205+#REF!+G207+G208+G209</f>
        <v>#REF!</v>
      </c>
      <c r="H197" s="140" t="e">
        <f>H199+H200+H201+H202+H204+H205+H207+H208+H209+H210+#REF!</f>
        <v>#REF!</v>
      </c>
      <c r="I197" s="140" t="e">
        <f>I199+I200+I201+I202+I204+I205+I207+I208+I209+I210+#REF!</f>
        <v>#REF!</v>
      </c>
      <c r="J197" s="140" t="e">
        <f>J199+J200+J201+J202+J204+J205+J207+J208+J209+J210+#REF!</f>
        <v>#REF!</v>
      </c>
      <c r="K197" s="140">
        <f>K199+K200+K201+K202+K203+K204+K205+K206+K207+K208+K209+K210+K198</f>
        <v>797073</v>
      </c>
      <c r="L197" s="140">
        <f>L199+L200+L201+L202+L203+L204+L205+L206+L207+L208+L209+L210+L198</f>
        <v>20240</v>
      </c>
      <c r="M197" s="140">
        <f>M199+M200+M201+M202+M203+M204+M205+M206+M207+M208+M209+M210+M198</f>
        <v>58310</v>
      </c>
      <c r="N197" s="344">
        <f t="shared" si="30"/>
        <v>759003</v>
      </c>
      <c r="O197" s="140">
        <f>O199+O200+O201+O202+O203+O204+O205+O206+O207+O208+O209+O210+O198</f>
        <v>0</v>
      </c>
      <c r="P197" s="140">
        <f>P199+P200+P201+P202+P203+P204+P205+P206+P207+P208+P209+P210+P198</f>
        <v>759003</v>
      </c>
      <c r="Q197" s="140">
        <f>Q199+Q200+Q201+Q202+Q203+Q204+Q205+Q206+Q207+Q208+Q209+Q210+Q198</f>
        <v>0</v>
      </c>
    </row>
    <row r="198" spans="1:17" s="154" customFormat="1" ht="15.75" customHeight="1">
      <c r="A198" s="12"/>
      <c r="B198" s="20" t="s">
        <v>218</v>
      </c>
      <c r="C198" s="229" t="s">
        <v>26</v>
      </c>
      <c r="D198" s="7"/>
      <c r="E198" s="7">
        <v>1974</v>
      </c>
      <c r="F198" s="7">
        <v>0</v>
      </c>
      <c r="G198" s="7">
        <v>0</v>
      </c>
      <c r="H198" s="7"/>
      <c r="I198" s="7"/>
      <c r="J198" s="7"/>
      <c r="K198" s="7">
        <v>0</v>
      </c>
      <c r="L198" s="7"/>
      <c r="M198" s="7"/>
      <c r="N198" s="7">
        <f t="shared" si="30"/>
        <v>0</v>
      </c>
      <c r="O198" s="7">
        <v>0</v>
      </c>
      <c r="P198" s="19">
        <f>N198</f>
        <v>0</v>
      </c>
      <c r="Q198" s="19">
        <v>0</v>
      </c>
    </row>
    <row r="199" spans="1:17" s="154" customFormat="1" ht="14.25" customHeight="1">
      <c r="A199" s="12"/>
      <c r="B199" s="13" t="s">
        <v>234</v>
      </c>
      <c r="C199" s="229" t="s">
        <v>235</v>
      </c>
      <c r="D199" s="7">
        <v>866965</v>
      </c>
      <c r="E199" s="7">
        <v>823342</v>
      </c>
      <c r="F199" s="7">
        <v>45000</v>
      </c>
      <c r="G199" s="7">
        <v>24814</v>
      </c>
      <c r="H199" s="7">
        <v>355622</v>
      </c>
      <c r="I199" s="7">
        <v>0</v>
      </c>
      <c r="J199" s="7">
        <v>0</v>
      </c>
      <c r="K199" s="7">
        <v>363273</v>
      </c>
      <c r="L199" s="7">
        <v>0</v>
      </c>
      <c r="M199" s="7">
        <v>45698</v>
      </c>
      <c r="N199" s="7">
        <f t="shared" si="30"/>
        <v>317575</v>
      </c>
      <c r="O199" s="7">
        <v>0</v>
      </c>
      <c r="P199" s="19">
        <f aca="true" t="shared" si="34" ref="P199:P210">N199</f>
        <v>317575</v>
      </c>
      <c r="Q199" s="19">
        <v>0</v>
      </c>
    </row>
    <row r="200" spans="1:17" s="154" customFormat="1" ht="15.75" customHeight="1">
      <c r="A200" s="12"/>
      <c r="B200" s="13" t="s">
        <v>238</v>
      </c>
      <c r="C200" s="229" t="s">
        <v>239</v>
      </c>
      <c r="D200" s="7">
        <v>75166</v>
      </c>
      <c r="E200" s="7">
        <v>81513</v>
      </c>
      <c r="F200" s="7">
        <v>0</v>
      </c>
      <c r="G200" s="7">
        <v>0</v>
      </c>
      <c r="H200" s="7">
        <v>40794</v>
      </c>
      <c r="I200" s="7">
        <v>0</v>
      </c>
      <c r="J200" s="7">
        <v>0</v>
      </c>
      <c r="K200" s="7">
        <v>26941</v>
      </c>
      <c r="L200" s="7"/>
      <c r="M200" s="7">
        <v>0</v>
      </c>
      <c r="N200" s="7">
        <f t="shared" si="30"/>
        <v>26941</v>
      </c>
      <c r="O200" s="7">
        <v>0</v>
      </c>
      <c r="P200" s="19">
        <f t="shared" si="34"/>
        <v>26941</v>
      </c>
      <c r="Q200" s="19">
        <v>0</v>
      </c>
    </row>
    <row r="201" spans="1:17" s="154" customFormat="1" ht="15" customHeight="1">
      <c r="A201" s="12"/>
      <c r="B201" s="20" t="s">
        <v>293</v>
      </c>
      <c r="C201" s="229" t="s">
        <v>268</v>
      </c>
      <c r="D201" s="7">
        <v>205528</v>
      </c>
      <c r="E201" s="7">
        <v>158209</v>
      </c>
      <c r="F201" s="7">
        <v>8046</v>
      </c>
      <c r="G201" s="7">
        <v>4948</v>
      </c>
      <c r="H201" s="7">
        <v>70500</v>
      </c>
      <c r="I201" s="7">
        <v>0</v>
      </c>
      <c r="J201" s="7">
        <v>0</v>
      </c>
      <c r="K201" s="7">
        <v>68900</v>
      </c>
      <c r="L201" s="7"/>
      <c r="M201" s="7">
        <v>9779</v>
      </c>
      <c r="N201" s="7">
        <f t="shared" si="30"/>
        <v>59121</v>
      </c>
      <c r="O201" s="7">
        <v>0</v>
      </c>
      <c r="P201" s="19">
        <f t="shared" si="34"/>
        <v>59121</v>
      </c>
      <c r="Q201" s="19">
        <v>0</v>
      </c>
    </row>
    <row r="202" spans="1:17" s="154" customFormat="1" ht="15" customHeight="1">
      <c r="A202" s="12"/>
      <c r="B202" s="20" t="s">
        <v>242</v>
      </c>
      <c r="C202" s="229" t="s">
        <v>243</v>
      </c>
      <c r="D202" s="7"/>
      <c r="E202" s="7">
        <v>21676</v>
      </c>
      <c r="F202" s="7">
        <v>1102</v>
      </c>
      <c r="G202" s="7">
        <v>680</v>
      </c>
      <c r="H202" s="7">
        <v>9660</v>
      </c>
      <c r="I202" s="7">
        <v>0</v>
      </c>
      <c r="J202" s="7">
        <v>0</v>
      </c>
      <c r="K202" s="7">
        <v>11000</v>
      </c>
      <c r="L202" s="7"/>
      <c r="M202" s="7">
        <v>2833</v>
      </c>
      <c r="N202" s="7">
        <f t="shared" si="30"/>
        <v>8167</v>
      </c>
      <c r="O202" s="7">
        <v>0</v>
      </c>
      <c r="P202" s="19">
        <f t="shared" si="34"/>
        <v>8167</v>
      </c>
      <c r="Q202" s="19">
        <v>0</v>
      </c>
    </row>
    <row r="203" spans="1:17" s="154" customFormat="1" ht="15" customHeight="1">
      <c r="A203" s="12"/>
      <c r="B203" s="20" t="s">
        <v>97</v>
      </c>
      <c r="C203" s="229" t="s">
        <v>109</v>
      </c>
      <c r="D203" s="7"/>
      <c r="E203" s="7"/>
      <c r="F203" s="7"/>
      <c r="G203" s="7"/>
      <c r="H203" s="7"/>
      <c r="I203" s="7"/>
      <c r="J203" s="7"/>
      <c r="K203" s="7">
        <v>900</v>
      </c>
      <c r="L203" s="7">
        <v>1200</v>
      </c>
      <c r="M203" s="7">
        <v>0</v>
      </c>
      <c r="N203" s="7">
        <f t="shared" si="30"/>
        <v>2100</v>
      </c>
      <c r="O203" s="7">
        <v>0</v>
      </c>
      <c r="P203" s="19">
        <f t="shared" si="34"/>
        <v>2100</v>
      </c>
      <c r="Q203" s="19"/>
    </row>
    <row r="204" spans="1:17" s="154" customFormat="1" ht="16.5" customHeight="1">
      <c r="A204" s="12"/>
      <c r="B204" s="20" t="s">
        <v>244</v>
      </c>
      <c r="C204" s="229" t="s">
        <v>388</v>
      </c>
      <c r="D204" s="7"/>
      <c r="E204" s="7">
        <v>35892</v>
      </c>
      <c r="F204" s="7">
        <v>2000</v>
      </c>
      <c r="G204" s="7">
        <v>0</v>
      </c>
      <c r="H204" s="7">
        <v>22000</v>
      </c>
      <c r="I204" s="7">
        <v>0</v>
      </c>
      <c r="J204" s="7">
        <v>0</v>
      </c>
      <c r="K204" s="7">
        <v>46980</v>
      </c>
      <c r="L204" s="7">
        <v>17040</v>
      </c>
      <c r="M204" s="7"/>
      <c r="N204" s="7">
        <f t="shared" si="30"/>
        <v>64020</v>
      </c>
      <c r="O204" s="7">
        <v>0</v>
      </c>
      <c r="P204" s="19">
        <f t="shared" si="34"/>
        <v>64020</v>
      </c>
      <c r="Q204" s="19">
        <v>0</v>
      </c>
    </row>
    <row r="205" spans="1:17" s="154" customFormat="1" ht="16.5" customHeight="1">
      <c r="A205" s="12"/>
      <c r="B205" s="20" t="s">
        <v>246</v>
      </c>
      <c r="C205" s="229" t="s">
        <v>350</v>
      </c>
      <c r="D205" s="7"/>
      <c r="E205" s="7">
        <v>12822</v>
      </c>
      <c r="F205" s="7">
        <v>0</v>
      </c>
      <c r="G205" s="7">
        <v>0</v>
      </c>
      <c r="H205" s="7">
        <v>8850</v>
      </c>
      <c r="I205" s="7">
        <v>0</v>
      </c>
      <c r="J205" s="7">
        <v>0</v>
      </c>
      <c r="K205" s="7">
        <v>9135</v>
      </c>
      <c r="L205" s="7"/>
      <c r="M205" s="7"/>
      <c r="N205" s="7">
        <f t="shared" si="30"/>
        <v>9135</v>
      </c>
      <c r="O205" s="7">
        <v>0</v>
      </c>
      <c r="P205" s="19">
        <f t="shared" si="34"/>
        <v>9135</v>
      </c>
      <c r="Q205" s="19">
        <v>0</v>
      </c>
    </row>
    <row r="206" spans="1:17" s="154" customFormat="1" ht="16.5" customHeight="1">
      <c r="A206" s="12"/>
      <c r="B206" s="20" t="s">
        <v>248</v>
      </c>
      <c r="C206" s="229" t="s">
        <v>249</v>
      </c>
      <c r="D206" s="7"/>
      <c r="E206" s="7"/>
      <c r="F206" s="7"/>
      <c r="G206" s="7"/>
      <c r="H206" s="7"/>
      <c r="I206" s="7"/>
      <c r="J206" s="7"/>
      <c r="K206" s="7">
        <v>0</v>
      </c>
      <c r="L206" s="7"/>
      <c r="M206" s="7"/>
      <c r="N206" s="7">
        <f t="shared" si="30"/>
        <v>0</v>
      </c>
      <c r="O206" s="7">
        <v>0</v>
      </c>
      <c r="P206" s="19">
        <f t="shared" si="34"/>
        <v>0</v>
      </c>
      <c r="Q206" s="19">
        <v>0</v>
      </c>
    </row>
    <row r="207" spans="1:17" s="154" customFormat="1" ht="16.5" customHeight="1">
      <c r="A207" s="12"/>
      <c r="B207" s="20" t="s">
        <v>250</v>
      </c>
      <c r="C207" s="229" t="s">
        <v>352</v>
      </c>
      <c r="D207" s="7"/>
      <c r="E207" s="7">
        <v>9517</v>
      </c>
      <c r="F207" s="7">
        <v>0</v>
      </c>
      <c r="G207" s="7">
        <v>0</v>
      </c>
      <c r="H207" s="7">
        <v>5400</v>
      </c>
      <c r="I207" s="7">
        <v>0</v>
      </c>
      <c r="J207" s="7">
        <v>0</v>
      </c>
      <c r="K207" s="7">
        <v>14000</v>
      </c>
      <c r="L207" s="7">
        <v>2000</v>
      </c>
      <c r="M207" s="7">
        <v>0</v>
      </c>
      <c r="N207" s="7">
        <f t="shared" si="30"/>
        <v>16000</v>
      </c>
      <c r="O207" s="7">
        <v>0</v>
      </c>
      <c r="P207" s="19">
        <f t="shared" si="34"/>
        <v>16000</v>
      </c>
      <c r="Q207" s="19">
        <v>0</v>
      </c>
    </row>
    <row r="208" spans="1:17" s="154" customFormat="1" ht="15" customHeight="1">
      <c r="A208" s="12"/>
      <c r="B208" s="20" t="s">
        <v>252</v>
      </c>
      <c r="C208" s="229" t="s">
        <v>253</v>
      </c>
      <c r="D208" s="7"/>
      <c r="E208" s="7">
        <v>229</v>
      </c>
      <c r="F208" s="7">
        <v>800</v>
      </c>
      <c r="G208" s="7">
        <v>0</v>
      </c>
      <c r="H208" s="7">
        <v>200</v>
      </c>
      <c r="I208" s="7">
        <v>0</v>
      </c>
      <c r="J208" s="7">
        <v>0</v>
      </c>
      <c r="K208" s="7">
        <v>1200</v>
      </c>
      <c r="L208" s="7"/>
      <c r="M208" s="7"/>
      <c r="N208" s="7">
        <f t="shared" si="30"/>
        <v>1200</v>
      </c>
      <c r="O208" s="7">
        <v>0</v>
      </c>
      <c r="P208" s="19">
        <f t="shared" si="34"/>
        <v>1200</v>
      </c>
      <c r="Q208" s="19">
        <v>0</v>
      </c>
    </row>
    <row r="209" spans="1:17" s="154" customFormat="1" ht="16.5" customHeight="1">
      <c r="A209" s="12"/>
      <c r="B209" s="20" t="s">
        <v>256</v>
      </c>
      <c r="C209" s="229" t="s">
        <v>257</v>
      </c>
      <c r="D209" s="7"/>
      <c r="E209" s="7">
        <v>60464</v>
      </c>
      <c r="F209" s="7">
        <v>0</v>
      </c>
      <c r="G209" s="7">
        <v>0</v>
      </c>
      <c r="H209" s="7">
        <v>17534</v>
      </c>
      <c r="I209" s="7">
        <v>0</v>
      </c>
      <c r="J209" s="7">
        <v>0</v>
      </c>
      <c r="K209" s="7">
        <v>29453</v>
      </c>
      <c r="L209" s="7"/>
      <c r="M209" s="7"/>
      <c r="N209" s="7">
        <f t="shared" si="30"/>
        <v>29453</v>
      </c>
      <c r="O209" s="7">
        <v>0</v>
      </c>
      <c r="P209" s="19">
        <f t="shared" si="34"/>
        <v>29453</v>
      </c>
      <c r="Q209" s="19">
        <v>0</v>
      </c>
    </row>
    <row r="210" spans="1:17" s="154" customFormat="1" ht="21" customHeight="1">
      <c r="A210" s="12"/>
      <c r="B210" s="13" t="s">
        <v>392</v>
      </c>
      <c r="C210" s="107" t="s">
        <v>534</v>
      </c>
      <c r="D210" s="7"/>
      <c r="E210" s="7"/>
      <c r="F210" s="7"/>
      <c r="G210" s="7"/>
      <c r="H210" s="7">
        <v>181417</v>
      </c>
      <c r="I210" s="7">
        <v>0</v>
      </c>
      <c r="J210" s="7">
        <v>0</v>
      </c>
      <c r="K210" s="7">
        <v>225291</v>
      </c>
      <c r="L210" s="7">
        <v>0</v>
      </c>
      <c r="M210" s="7">
        <v>0</v>
      </c>
      <c r="N210" s="7">
        <f t="shared" si="30"/>
        <v>225291</v>
      </c>
      <c r="O210" s="7">
        <v>0</v>
      </c>
      <c r="P210" s="19">
        <f t="shared" si="34"/>
        <v>225291</v>
      </c>
      <c r="Q210" s="19">
        <v>0</v>
      </c>
    </row>
    <row r="211" spans="1:17" s="154" customFormat="1" ht="18.75" customHeight="1">
      <c r="A211" s="167" t="s">
        <v>533</v>
      </c>
      <c r="B211" s="178"/>
      <c r="C211" s="168" t="s">
        <v>532</v>
      </c>
      <c r="D211" s="140"/>
      <c r="E211" s="140"/>
      <c r="F211" s="140"/>
      <c r="G211" s="140"/>
      <c r="H211" s="140">
        <f aca="true" t="shared" si="35" ref="H211:Q211">H212</f>
        <v>65981</v>
      </c>
      <c r="I211" s="140">
        <f t="shared" si="35"/>
        <v>0</v>
      </c>
      <c r="J211" s="140">
        <f t="shared" si="35"/>
        <v>0</v>
      </c>
      <c r="K211" s="140">
        <f>K212</f>
        <v>102892</v>
      </c>
      <c r="L211" s="140">
        <f>L212</f>
        <v>0</v>
      </c>
      <c r="M211" s="140">
        <f>M212</f>
        <v>0</v>
      </c>
      <c r="N211" s="344">
        <f t="shared" si="30"/>
        <v>102892</v>
      </c>
      <c r="O211" s="140">
        <f t="shared" si="35"/>
        <v>0</v>
      </c>
      <c r="P211" s="140">
        <f t="shared" si="35"/>
        <v>102892</v>
      </c>
      <c r="Q211" s="140">
        <f t="shared" si="35"/>
        <v>0</v>
      </c>
    </row>
    <row r="212" spans="1:17" s="154" customFormat="1" ht="21" customHeight="1">
      <c r="A212" s="12"/>
      <c r="B212" s="13" t="s">
        <v>392</v>
      </c>
      <c r="C212" s="107" t="s">
        <v>534</v>
      </c>
      <c r="D212" s="7"/>
      <c r="E212" s="7"/>
      <c r="F212" s="7"/>
      <c r="G212" s="7"/>
      <c r="H212" s="7">
        <v>65981</v>
      </c>
      <c r="I212" s="7">
        <v>0</v>
      </c>
      <c r="J212" s="7">
        <v>0</v>
      </c>
      <c r="K212" s="7">
        <v>102892</v>
      </c>
      <c r="L212" s="7"/>
      <c r="M212" s="7">
        <v>0</v>
      </c>
      <c r="N212" s="7">
        <f t="shared" si="30"/>
        <v>102892</v>
      </c>
      <c r="O212" s="7">
        <v>0</v>
      </c>
      <c r="P212" s="19">
        <f>N212</f>
        <v>102892</v>
      </c>
      <c r="Q212" s="19">
        <v>0</v>
      </c>
    </row>
    <row r="213" spans="1:17" s="154" customFormat="1" ht="18.75" customHeight="1">
      <c r="A213" s="167" t="s">
        <v>393</v>
      </c>
      <c r="B213" s="178"/>
      <c r="C213" s="168" t="s">
        <v>395</v>
      </c>
      <c r="D213" s="140" t="e">
        <f>D214+D215+D216+#REF!</f>
        <v>#REF!</v>
      </c>
      <c r="E213" s="140" t="e">
        <f>E214+E215+E216+E217+#REF!+E218+#REF!+#REF!+E221</f>
        <v>#REF!</v>
      </c>
      <c r="F213" s="140" t="e">
        <f>F214+F215+F216+F217+#REF!+F218+#REF!+#REF!+F221</f>
        <v>#REF!</v>
      </c>
      <c r="G213" s="140" t="e">
        <f>G214+G215+G216+G217+#REF!+G218+#REF!+#REF!+G221</f>
        <v>#REF!</v>
      </c>
      <c r="H213" s="140">
        <f>H214+H215+H216+H217+H218+H221+H223+H220</f>
        <v>416271</v>
      </c>
      <c r="I213" s="140">
        <f>I214+I215+I216+I217+I218+I221+I223+I220</f>
        <v>0</v>
      </c>
      <c r="J213" s="140">
        <f>J214+J215+J216+J217+J218+J221+J223+J220</f>
        <v>0</v>
      </c>
      <c r="K213" s="140">
        <f>K214+K215+K216+K217+K218+K221+K223+K220+K219+K222</f>
        <v>919490</v>
      </c>
      <c r="L213" s="140">
        <f>L214+L215+L216+L217+L218+L221+L223+L220+L219+L222</f>
        <v>20390</v>
      </c>
      <c r="M213" s="140">
        <f>M214+M215+M216+M217+M218+M221+M223+M220+M219+M222</f>
        <v>43417</v>
      </c>
      <c r="N213" s="140">
        <f t="shared" si="30"/>
        <v>896463</v>
      </c>
      <c r="O213" s="140">
        <f>O214+O215+O216+O217+O218+O221+O223+O220+O219</f>
        <v>0</v>
      </c>
      <c r="P213" s="140">
        <f>P214+P215+P216+P217+P218+P219+P220+P221+P222+P223</f>
        <v>896463</v>
      </c>
      <c r="Q213" s="140">
        <f>Q214+Q215+Q216+Q217+Q218+Q221+Q223+Q220+Q219</f>
        <v>0</v>
      </c>
    </row>
    <row r="214" spans="1:17" s="154" customFormat="1" ht="14.25" customHeight="1">
      <c r="A214" s="12"/>
      <c r="B214" s="13" t="s">
        <v>234</v>
      </c>
      <c r="C214" s="229" t="s">
        <v>235</v>
      </c>
      <c r="D214" s="7">
        <v>212518</v>
      </c>
      <c r="E214" s="7">
        <v>225071</v>
      </c>
      <c r="F214" s="7">
        <v>24814</v>
      </c>
      <c r="G214" s="7">
        <v>0</v>
      </c>
      <c r="H214" s="7">
        <v>279732</v>
      </c>
      <c r="I214" s="7">
        <v>0</v>
      </c>
      <c r="J214" s="7">
        <v>0</v>
      </c>
      <c r="K214" s="7">
        <v>288843</v>
      </c>
      <c r="L214" s="7">
        <v>0</v>
      </c>
      <c r="M214" s="7">
        <v>34021</v>
      </c>
      <c r="N214" s="7">
        <f t="shared" si="30"/>
        <v>254822</v>
      </c>
      <c r="O214" s="7">
        <v>0</v>
      </c>
      <c r="P214" s="19">
        <f>N214</f>
        <v>254822</v>
      </c>
      <c r="Q214" s="19">
        <v>0</v>
      </c>
    </row>
    <row r="215" spans="1:17" s="154" customFormat="1" ht="14.25" customHeight="1">
      <c r="A215" s="12"/>
      <c r="B215" s="13" t="s">
        <v>238</v>
      </c>
      <c r="C215" s="229" t="s">
        <v>239</v>
      </c>
      <c r="D215" s="7">
        <v>4145</v>
      </c>
      <c r="E215" s="7">
        <v>6923</v>
      </c>
      <c r="F215" s="7">
        <v>0</v>
      </c>
      <c r="G215" s="7">
        <v>0</v>
      </c>
      <c r="H215" s="15">
        <v>10410</v>
      </c>
      <c r="I215" s="15">
        <v>0</v>
      </c>
      <c r="J215" s="15">
        <v>0</v>
      </c>
      <c r="K215" s="7">
        <v>18074</v>
      </c>
      <c r="L215" s="7"/>
      <c r="M215" s="15">
        <v>0</v>
      </c>
      <c r="N215" s="7">
        <f t="shared" si="30"/>
        <v>18074</v>
      </c>
      <c r="O215" s="7">
        <v>0</v>
      </c>
      <c r="P215" s="19">
        <f aca="true" t="shared" si="36" ref="P215:P223">N215</f>
        <v>18074</v>
      </c>
      <c r="Q215" s="19">
        <v>0</v>
      </c>
    </row>
    <row r="216" spans="1:17" s="154" customFormat="1" ht="15.75" customHeight="1">
      <c r="A216" s="12"/>
      <c r="B216" s="20" t="s">
        <v>293</v>
      </c>
      <c r="C216" s="229" t="s">
        <v>268</v>
      </c>
      <c r="D216" s="7">
        <v>44040</v>
      </c>
      <c r="E216" s="7">
        <v>40253</v>
      </c>
      <c r="F216" s="7">
        <v>4948</v>
      </c>
      <c r="G216" s="7">
        <v>0</v>
      </c>
      <c r="H216" s="7">
        <v>51300</v>
      </c>
      <c r="I216" s="7">
        <v>0</v>
      </c>
      <c r="J216" s="7">
        <v>0</v>
      </c>
      <c r="K216" s="7">
        <v>55214</v>
      </c>
      <c r="L216" s="7"/>
      <c r="M216" s="7">
        <v>8407</v>
      </c>
      <c r="N216" s="7">
        <f t="shared" si="30"/>
        <v>46807</v>
      </c>
      <c r="O216" s="7">
        <v>0</v>
      </c>
      <c r="P216" s="19">
        <f t="shared" si="36"/>
        <v>46807</v>
      </c>
      <c r="Q216" s="19">
        <v>0</v>
      </c>
    </row>
    <row r="217" spans="1:17" s="154" customFormat="1" ht="14.25" customHeight="1">
      <c r="A217" s="12"/>
      <c r="B217" s="20" t="s">
        <v>242</v>
      </c>
      <c r="C217" s="229" t="s">
        <v>243</v>
      </c>
      <c r="D217" s="7"/>
      <c r="E217" s="7">
        <v>5538</v>
      </c>
      <c r="F217" s="7">
        <v>680</v>
      </c>
      <c r="G217" s="7">
        <v>0</v>
      </c>
      <c r="H217" s="7">
        <v>7030</v>
      </c>
      <c r="I217" s="7">
        <v>0</v>
      </c>
      <c r="J217" s="7">
        <v>0</v>
      </c>
      <c r="K217" s="7">
        <v>7520</v>
      </c>
      <c r="L217" s="7"/>
      <c r="M217" s="7">
        <v>989</v>
      </c>
      <c r="N217" s="7">
        <f t="shared" si="30"/>
        <v>6531</v>
      </c>
      <c r="O217" s="7">
        <v>0</v>
      </c>
      <c r="P217" s="19">
        <f t="shared" si="36"/>
        <v>6531</v>
      </c>
      <c r="Q217" s="19">
        <v>0</v>
      </c>
    </row>
    <row r="218" spans="1:17" s="154" customFormat="1" ht="14.25" customHeight="1">
      <c r="A218" s="12"/>
      <c r="B218" s="13" t="s">
        <v>244</v>
      </c>
      <c r="C218" s="192" t="s">
        <v>396</v>
      </c>
      <c r="D218" s="7"/>
      <c r="E218" s="7">
        <v>1700</v>
      </c>
      <c r="F218" s="7">
        <v>0</v>
      </c>
      <c r="G218" s="7">
        <v>0</v>
      </c>
      <c r="H218" s="7">
        <v>300</v>
      </c>
      <c r="I218" s="7">
        <v>0</v>
      </c>
      <c r="J218" s="7">
        <v>0</v>
      </c>
      <c r="K218" s="7">
        <v>57229</v>
      </c>
      <c r="L218" s="7">
        <v>20390</v>
      </c>
      <c r="M218" s="7">
        <v>0</v>
      </c>
      <c r="N218" s="7">
        <f t="shared" si="30"/>
        <v>77619</v>
      </c>
      <c r="O218" s="7">
        <v>0</v>
      </c>
      <c r="P218" s="19">
        <f t="shared" si="36"/>
        <v>77619</v>
      </c>
      <c r="Q218" s="19">
        <v>0</v>
      </c>
    </row>
    <row r="219" spans="1:17" s="154" customFormat="1" ht="14.25" customHeight="1">
      <c r="A219" s="12"/>
      <c r="B219" s="13" t="s">
        <v>246</v>
      </c>
      <c r="C219" s="192" t="s">
        <v>350</v>
      </c>
      <c r="D219" s="7"/>
      <c r="E219" s="7"/>
      <c r="F219" s="7"/>
      <c r="G219" s="7"/>
      <c r="H219" s="7"/>
      <c r="I219" s="7"/>
      <c r="J219" s="7"/>
      <c r="K219" s="7">
        <v>2100</v>
      </c>
      <c r="L219" s="7"/>
      <c r="M219" s="7"/>
      <c r="N219" s="7">
        <f t="shared" si="30"/>
        <v>2100</v>
      </c>
      <c r="O219" s="7">
        <v>0</v>
      </c>
      <c r="P219" s="19">
        <f t="shared" si="36"/>
        <v>2100</v>
      </c>
      <c r="Q219" s="19">
        <v>0</v>
      </c>
    </row>
    <row r="220" spans="1:17" s="154" customFormat="1" ht="14.25" customHeight="1">
      <c r="A220" s="12"/>
      <c r="B220" s="13" t="s">
        <v>250</v>
      </c>
      <c r="C220" s="192" t="s">
        <v>352</v>
      </c>
      <c r="D220" s="7"/>
      <c r="E220" s="7"/>
      <c r="F220" s="7"/>
      <c r="G220" s="7"/>
      <c r="H220" s="7">
        <v>1700</v>
      </c>
      <c r="I220" s="7">
        <v>0</v>
      </c>
      <c r="J220" s="7">
        <v>0</v>
      </c>
      <c r="K220" s="7">
        <v>3675</v>
      </c>
      <c r="L220" s="7"/>
      <c r="M220" s="7"/>
      <c r="N220" s="7">
        <f t="shared" si="30"/>
        <v>3675</v>
      </c>
      <c r="O220" s="7">
        <v>0</v>
      </c>
      <c r="P220" s="19">
        <f t="shared" si="36"/>
        <v>3675</v>
      </c>
      <c r="Q220" s="19">
        <v>0</v>
      </c>
    </row>
    <row r="221" spans="1:17" s="154" customFormat="1" ht="14.25" customHeight="1">
      <c r="A221" s="12"/>
      <c r="B221" s="13" t="s">
        <v>256</v>
      </c>
      <c r="C221" s="192" t="s">
        <v>257</v>
      </c>
      <c r="D221" s="7"/>
      <c r="E221" s="7">
        <v>15689</v>
      </c>
      <c r="F221" s="7">
        <v>0</v>
      </c>
      <c r="G221" s="7">
        <v>0</v>
      </c>
      <c r="H221" s="15">
        <v>14740</v>
      </c>
      <c r="I221" s="15">
        <v>0</v>
      </c>
      <c r="J221" s="15">
        <v>0</v>
      </c>
      <c r="K221" s="7">
        <v>14862</v>
      </c>
      <c r="L221" s="7"/>
      <c r="M221" s="15"/>
      <c r="N221" s="7">
        <f t="shared" si="30"/>
        <v>14862</v>
      </c>
      <c r="O221" s="7">
        <v>0</v>
      </c>
      <c r="P221" s="19">
        <f t="shared" si="36"/>
        <v>14862</v>
      </c>
      <c r="Q221" s="19">
        <v>0</v>
      </c>
    </row>
    <row r="222" spans="1:17" s="154" customFormat="1" ht="14.25" customHeight="1">
      <c r="A222" s="12"/>
      <c r="B222" s="13" t="s">
        <v>276</v>
      </c>
      <c r="C222" s="192" t="s">
        <v>165</v>
      </c>
      <c r="D222" s="7"/>
      <c r="E222" s="7"/>
      <c r="F222" s="7"/>
      <c r="G222" s="7"/>
      <c r="H222" s="15"/>
      <c r="I222" s="15"/>
      <c r="J222" s="15"/>
      <c r="K222" s="7">
        <v>236751</v>
      </c>
      <c r="L222" s="7">
        <v>0</v>
      </c>
      <c r="M222" s="15">
        <v>0</v>
      </c>
      <c r="N222" s="7">
        <f t="shared" si="30"/>
        <v>236751</v>
      </c>
      <c r="O222" s="7">
        <v>0</v>
      </c>
      <c r="P222" s="19">
        <f t="shared" si="36"/>
        <v>236751</v>
      </c>
      <c r="Q222" s="19">
        <v>0</v>
      </c>
    </row>
    <row r="223" spans="1:17" s="154" customFormat="1" ht="22.5" customHeight="1">
      <c r="A223" s="12"/>
      <c r="B223" s="13" t="s">
        <v>392</v>
      </c>
      <c r="C223" s="107" t="s">
        <v>184</v>
      </c>
      <c r="D223" s="7"/>
      <c r="E223" s="7"/>
      <c r="F223" s="7"/>
      <c r="G223" s="7"/>
      <c r="H223" s="7">
        <v>51059</v>
      </c>
      <c r="I223" s="7">
        <v>0</v>
      </c>
      <c r="J223" s="7">
        <v>0</v>
      </c>
      <c r="K223" s="7">
        <v>235222</v>
      </c>
      <c r="L223" s="7"/>
      <c r="M223" s="7">
        <v>0</v>
      </c>
      <c r="N223" s="7">
        <f t="shared" si="30"/>
        <v>235222</v>
      </c>
      <c r="O223" s="7">
        <v>0</v>
      </c>
      <c r="P223" s="19">
        <f t="shared" si="36"/>
        <v>235222</v>
      </c>
      <c r="Q223" s="19">
        <v>0</v>
      </c>
    </row>
    <row r="224" spans="1:17" s="154" customFormat="1" ht="16.5" customHeight="1">
      <c r="A224" s="167" t="s">
        <v>397</v>
      </c>
      <c r="B224" s="233"/>
      <c r="C224" s="140" t="s">
        <v>398</v>
      </c>
      <c r="D224" s="140" t="e">
        <f>D226+D227+D228+#REF!+D231+#REF!</f>
        <v>#REF!</v>
      </c>
      <c r="E224" s="140" t="e">
        <f>E226+E227+E228+E229+#REF!+E230+E231+#REF!+E234+#REF!+E236+E238+E239+E240+E243+#REF!</f>
        <v>#REF!</v>
      </c>
      <c r="F224" s="140" t="e">
        <f>F226+F227+F228+F229+#REF!+F230+F231+#REF!+F234+#REF!+F236+F238+F239+F240+F243+#REF!</f>
        <v>#REF!</v>
      </c>
      <c r="G224" s="140" t="e">
        <f>G226+G227+G228+G229+#REF!+G230+G231+#REF!+G234+#REF!+G236+G238+G239+G240+G243+#REF!</f>
        <v>#REF!</v>
      </c>
      <c r="H224" s="140" t="e">
        <f>H226+H227+H228+H229+H225+H230+H231+H233+#REF!+H234+#REF!+H236+H238+H239+H240+H243+H241</f>
        <v>#REF!</v>
      </c>
      <c r="I224" s="140" t="e">
        <f>I226+I227+I228+I229+I225+I230+I231+I233+#REF!+I234+#REF!+I236+I238+I239+I240+I243+I241</f>
        <v>#REF!</v>
      </c>
      <c r="J224" s="140" t="e">
        <f>J226+J227+J228+J229+J225+J230+J231+J233+#REF!+J234+#REF!+J236+J238+J239+J240+J243+J241</f>
        <v>#REF!</v>
      </c>
      <c r="K224" s="140">
        <f>SUM(K225:K243)</f>
        <v>2184931</v>
      </c>
      <c r="L224" s="140">
        <f>SUM(L225:L243)</f>
        <v>12085</v>
      </c>
      <c r="M224" s="140">
        <f>SUM(M225:M243)</f>
        <v>24982</v>
      </c>
      <c r="N224" s="140">
        <f t="shared" si="30"/>
        <v>2172034</v>
      </c>
      <c r="O224" s="140">
        <f>SUM(O225:O243)</f>
        <v>0</v>
      </c>
      <c r="P224" s="140">
        <f>SUM(P225:P243)</f>
        <v>2172034</v>
      </c>
      <c r="Q224" s="140">
        <f>SUM(Q225:Q243)</f>
        <v>0</v>
      </c>
    </row>
    <row r="225" spans="1:17" s="248" customFormat="1" ht="15.75" customHeight="1">
      <c r="A225" s="18"/>
      <c r="B225" s="13" t="s">
        <v>218</v>
      </c>
      <c r="C225" s="330" t="s">
        <v>399</v>
      </c>
      <c r="D225" s="141"/>
      <c r="E225" s="141"/>
      <c r="F225" s="141"/>
      <c r="G225" s="141"/>
      <c r="H225" s="141">
        <v>14208</v>
      </c>
      <c r="I225" s="141">
        <v>0</v>
      </c>
      <c r="J225" s="141">
        <v>0</v>
      </c>
      <c r="K225" s="141">
        <v>9850</v>
      </c>
      <c r="L225" s="141">
        <v>0</v>
      </c>
      <c r="M225" s="141">
        <v>1706</v>
      </c>
      <c r="N225" s="7">
        <f t="shared" si="30"/>
        <v>8144</v>
      </c>
      <c r="O225" s="141">
        <v>0</v>
      </c>
      <c r="P225" s="19">
        <f>N225</f>
        <v>8144</v>
      </c>
      <c r="Q225" s="19">
        <v>0</v>
      </c>
    </row>
    <row r="226" spans="1:17" s="154" customFormat="1" ht="14.25" customHeight="1">
      <c r="A226" s="18"/>
      <c r="B226" s="13" t="s">
        <v>234</v>
      </c>
      <c r="C226" s="229" t="s">
        <v>235</v>
      </c>
      <c r="D226" s="7">
        <v>1980166</v>
      </c>
      <c r="E226" s="7">
        <v>1975260</v>
      </c>
      <c r="F226" s="7">
        <v>27891</v>
      </c>
      <c r="G226" s="7">
        <v>26283</v>
      </c>
      <c r="H226" s="7">
        <v>1137604</v>
      </c>
      <c r="I226" s="7">
        <v>0</v>
      </c>
      <c r="J226" s="7">
        <v>0</v>
      </c>
      <c r="K226" s="7">
        <v>1195257</v>
      </c>
      <c r="L226" s="7">
        <v>0</v>
      </c>
      <c r="M226" s="7">
        <v>2355</v>
      </c>
      <c r="N226" s="7">
        <f t="shared" si="30"/>
        <v>1192902</v>
      </c>
      <c r="O226" s="7">
        <v>0</v>
      </c>
      <c r="P226" s="19">
        <f aca="true" t="shared" si="37" ref="P226:P245">N226</f>
        <v>1192902</v>
      </c>
      <c r="Q226" s="19">
        <v>0</v>
      </c>
    </row>
    <row r="227" spans="1:17" s="154" customFormat="1" ht="15.75" customHeight="1">
      <c r="A227" s="18"/>
      <c r="B227" s="13" t="s">
        <v>238</v>
      </c>
      <c r="C227" s="229" t="s">
        <v>239</v>
      </c>
      <c r="D227" s="7">
        <v>123848</v>
      </c>
      <c r="E227" s="7">
        <v>159042</v>
      </c>
      <c r="F227" s="7">
        <v>0</v>
      </c>
      <c r="G227" s="7">
        <v>0</v>
      </c>
      <c r="H227" s="7">
        <v>76054</v>
      </c>
      <c r="I227" s="7">
        <v>0</v>
      </c>
      <c r="J227" s="7">
        <v>0</v>
      </c>
      <c r="K227" s="7">
        <v>94071</v>
      </c>
      <c r="L227" s="7"/>
      <c r="M227" s="7">
        <v>0</v>
      </c>
      <c r="N227" s="7">
        <f t="shared" si="30"/>
        <v>94071</v>
      </c>
      <c r="O227" s="7">
        <v>0</v>
      </c>
      <c r="P227" s="19">
        <f t="shared" si="37"/>
        <v>94071</v>
      </c>
      <c r="Q227" s="19">
        <v>0</v>
      </c>
    </row>
    <row r="228" spans="1:17" s="154" customFormat="1" ht="15" customHeight="1">
      <c r="A228" s="18"/>
      <c r="B228" s="20" t="s">
        <v>293</v>
      </c>
      <c r="C228" s="229" t="s">
        <v>307</v>
      </c>
      <c r="D228" s="7">
        <v>414136</v>
      </c>
      <c r="E228" s="7">
        <v>370552</v>
      </c>
      <c r="F228" s="7">
        <v>2840</v>
      </c>
      <c r="G228" s="7">
        <v>2000</v>
      </c>
      <c r="H228" s="7">
        <v>214800</v>
      </c>
      <c r="I228" s="7">
        <v>0</v>
      </c>
      <c r="J228" s="7">
        <v>0</v>
      </c>
      <c r="K228" s="7">
        <v>223194</v>
      </c>
      <c r="L228" s="7">
        <v>0</v>
      </c>
      <c r="M228" s="7">
        <v>763</v>
      </c>
      <c r="N228" s="7">
        <f t="shared" si="30"/>
        <v>222431</v>
      </c>
      <c r="O228" s="7">
        <v>0</v>
      </c>
      <c r="P228" s="19">
        <f t="shared" si="37"/>
        <v>222431</v>
      </c>
      <c r="Q228" s="19">
        <v>0</v>
      </c>
    </row>
    <row r="229" spans="1:17" s="154" customFormat="1" ht="13.5" customHeight="1">
      <c r="A229" s="18"/>
      <c r="B229" s="20" t="s">
        <v>242</v>
      </c>
      <c r="C229" s="229" t="s">
        <v>243</v>
      </c>
      <c r="D229" s="7"/>
      <c r="E229" s="7">
        <v>50795</v>
      </c>
      <c r="F229" s="7">
        <v>390</v>
      </c>
      <c r="G229" s="7">
        <v>165</v>
      </c>
      <c r="H229" s="7">
        <v>29560</v>
      </c>
      <c r="I229" s="7">
        <v>0</v>
      </c>
      <c r="J229" s="7">
        <v>0</v>
      </c>
      <c r="K229" s="7">
        <v>31239</v>
      </c>
      <c r="L229" s="7">
        <v>126</v>
      </c>
      <c r="M229" s="7">
        <v>47</v>
      </c>
      <c r="N229" s="7">
        <f t="shared" si="30"/>
        <v>31318</v>
      </c>
      <c r="O229" s="7">
        <v>0</v>
      </c>
      <c r="P229" s="19">
        <f t="shared" si="37"/>
        <v>31318</v>
      </c>
      <c r="Q229" s="19">
        <v>0</v>
      </c>
    </row>
    <row r="230" spans="1:17" s="154" customFormat="1" ht="15.75" customHeight="1">
      <c r="A230" s="18"/>
      <c r="B230" s="13" t="s">
        <v>400</v>
      </c>
      <c r="C230" s="192" t="s">
        <v>401</v>
      </c>
      <c r="D230" s="7"/>
      <c r="E230" s="7">
        <v>8110</v>
      </c>
      <c r="F230" s="7">
        <v>0</v>
      </c>
      <c r="G230" s="7">
        <v>0</v>
      </c>
      <c r="H230" s="7">
        <v>300</v>
      </c>
      <c r="I230" s="7">
        <v>0</v>
      </c>
      <c r="J230" s="7">
        <v>0</v>
      </c>
      <c r="K230" s="7">
        <v>4700</v>
      </c>
      <c r="L230" s="7"/>
      <c r="M230" s="7">
        <v>1281</v>
      </c>
      <c r="N230" s="7">
        <f t="shared" si="30"/>
        <v>3419</v>
      </c>
      <c r="O230" s="7">
        <v>0</v>
      </c>
      <c r="P230" s="19">
        <f t="shared" si="37"/>
        <v>3419</v>
      </c>
      <c r="Q230" s="19">
        <v>0</v>
      </c>
    </row>
    <row r="231" spans="1:17" s="154" customFormat="1" ht="15" customHeight="1">
      <c r="A231" s="18"/>
      <c r="B231" s="28">
        <v>4210</v>
      </c>
      <c r="C231" s="192" t="s">
        <v>271</v>
      </c>
      <c r="D231" s="7" t="e">
        <f>#REF!+#REF!</f>
        <v>#REF!</v>
      </c>
      <c r="E231" s="15">
        <v>110063</v>
      </c>
      <c r="F231" s="15">
        <v>262</v>
      </c>
      <c r="G231" s="15">
        <v>0</v>
      </c>
      <c r="H231" s="7">
        <v>94500</v>
      </c>
      <c r="I231" s="7">
        <v>0</v>
      </c>
      <c r="J231" s="7">
        <v>0</v>
      </c>
      <c r="K231" s="7">
        <v>123000</v>
      </c>
      <c r="L231" s="7">
        <v>10253</v>
      </c>
      <c r="M231" s="7">
        <v>0</v>
      </c>
      <c r="N231" s="7">
        <f t="shared" si="30"/>
        <v>133253</v>
      </c>
      <c r="O231" s="7">
        <v>0</v>
      </c>
      <c r="P231" s="19">
        <f t="shared" si="37"/>
        <v>133253</v>
      </c>
      <c r="Q231" s="19">
        <v>0</v>
      </c>
    </row>
    <row r="232" spans="1:17" s="154" customFormat="1" ht="15" customHeight="1">
      <c r="A232" s="18"/>
      <c r="B232" s="28">
        <v>4170</v>
      </c>
      <c r="C232" s="192" t="s">
        <v>627</v>
      </c>
      <c r="D232" s="7"/>
      <c r="E232" s="15"/>
      <c r="F232" s="15"/>
      <c r="G232" s="15"/>
      <c r="H232" s="7"/>
      <c r="I232" s="7"/>
      <c r="J232" s="7"/>
      <c r="K232" s="7">
        <v>1000</v>
      </c>
      <c r="L232" s="7"/>
      <c r="M232" s="7"/>
      <c r="N232" s="7">
        <f t="shared" si="30"/>
        <v>1000</v>
      </c>
      <c r="O232" s="7"/>
      <c r="P232" s="19">
        <f t="shared" si="37"/>
        <v>1000</v>
      </c>
      <c r="Q232" s="19"/>
    </row>
    <row r="233" spans="1:17" s="154" customFormat="1" ht="15" customHeight="1">
      <c r="A233" s="18"/>
      <c r="B233" s="28">
        <v>4240</v>
      </c>
      <c r="C233" s="192" t="s">
        <v>390</v>
      </c>
      <c r="D233" s="7"/>
      <c r="E233" s="15"/>
      <c r="F233" s="15"/>
      <c r="G233" s="15"/>
      <c r="H233" s="7">
        <v>3000</v>
      </c>
      <c r="I233" s="7">
        <v>0</v>
      </c>
      <c r="J233" s="7">
        <v>0</v>
      </c>
      <c r="K233" s="7">
        <v>4850</v>
      </c>
      <c r="L233" s="7">
        <v>1706</v>
      </c>
      <c r="M233" s="7"/>
      <c r="N233" s="7">
        <f t="shared" si="30"/>
        <v>6556</v>
      </c>
      <c r="O233" s="7">
        <v>0</v>
      </c>
      <c r="P233" s="19">
        <f t="shared" si="37"/>
        <v>6556</v>
      </c>
      <c r="Q233" s="19">
        <v>0</v>
      </c>
    </row>
    <row r="234" spans="1:17" s="154" customFormat="1" ht="15.75" customHeight="1">
      <c r="A234" s="18"/>
      <c r="B234" s="13" t="s">
        <v>246</v>
      </c>
      <c r="C234" s="192" t="s">
        <v>350</v>
      </c>
      <c r="D234" s="7"/>
      <c r="E234" s="7">
        <v>137000</v>
      </c>
      <c r="F234" s="7">
        <v>8000</v>
      </c>
      <c r="G234" s="7">
        <v>0</v>
      </c>
      <c r="H234" s="7">
        <v>38000</v>
      </c>
      <c r="I234" s="7">
        <v>0</v>
      </c>
      <c r="J234" s="7">
        <v>0</v>
      </c>
      <c r="K234" s="7">
        <v>31800</v>
      </c>
      <c r="L234" s="7"/>
      <c r="M234" s="7">
        <v>1850</v>
      </c>
      <c r="N234" s="7">
        <f t="shared" si="30"/>
        <v>29950</v>
      </c>
      <c r="O234" s="7">
        <v>0</v>
      </c>
      <c r="P234" s="19">
        <f t="shared" si="37"/>
        <v>29950</v>
      </c>
      <c r="Q234" s="19">
        <v>0</v>
      </c>
    </row>
    <row r="235" spans="1:17" s="154" customFormat="1" ht="15.75" customHeight="1">
      <c r="A235" s="18"/>
      <c r="B235" s="13" t="s">
        <v>248</v>
      </c>
      <c r="C235" s="192" t="s">
        <v>249</v>
      </c>
      <c r="D235" s="7"/>
      <c r="E235" s="7"/>
      <c r="F235" s="7"/>
      <c r="G235" s="7"/>
      <c r="H235" s="7"/>
      <c r="I235" s="7"/>
      <c r="J235" s="7"/>
      <c r="K235" s="7">
        <v>75000</v>
      </c>
      <c r="L235" s="7">
        <v>0</v>
      </c>
      <c r="M235" s="7"/>
      <c r="N235" s="7">
        <f t="shared" si="30"/>
        <v>75000</v>
      </c>
      <c r="O235" s="7"/>
      <c r="P235" s="19">
        <f t="shared" si="37"/>
        <v>75000</v>
      </c>
      <c r="Q235" s="19"/>
    </row>
    <row r="236" spans="1:17" s="154" customFormat="1" ht="16.5" customHeight="1">
      <c r="A236" s="18"/>
      <c r="B236" s="13" t="s">
        <v>250</v>
      </c>
      <c r="C236" s="192" t="s">
        <v>251</v>
      </c>
      <c r="D236" s="7"/>
      <c r="E236" s="7">
        <v>58100</v>
      </c>
      <c r="F236" s="7">
        <v>0</v>
      </c>
      <c r="G236" s="7">
        <v>4500</v>
      </c>
      <c r="H236" s="7">
        <v>30000</v>
      </c>
      <c r="I236" s="7">
        <v>0</v>
      </c>
      <c r="J236" s="7">
        <v>0</v>
      </c>
      <c r="K236" s="7">
        <v>45602</v>
      </c>
      <c r="L236" s="7">
        <v>0</v>
      </c>
      <c r="M236" s="7">
        <v>4812</v>
      </c>
      <c r="N236" s="7">
        <f t="shared" si="30"/>
        <v>40790</v>
      </c>
      <c r="O236" s="7">
        <v>0</v>
      </c>
      <c r="P236" s="19">
        <f t="shared" si="37"/>
        <v>40790</v>
      </c>
      <c r="Q236" s="19">
        <v>0</v>
      </c>
    </row>
    <row r="237" spans="1:17" s="154" customFormat="1" ht="14.25" customHeight="1">
      <c r="A237" s="18"/>
      <c r="B237" s="13" t="s">
        <v>110</v>
      </c>
      <c r="C237" s="192" t="s">
        <v>111</v>
      </c>
      <c r="D237" s="7"/>
      <c r="E237" s="7"/>
      <c r="F237" s="7"/>
      <c r="G237" s="7"/>
      <c r="H237" s="7"/>
      <c r="I237" s="7"/>
      <c r="J237" s="7"/>
      <c r="K237" s="7">
        <v>3800</v>
      </c>
      <c r="L237" s="7"/>
      <c r="M237" s="7">
        <v>339</v>
      </c>
      <c r="N237" s="7">
        <f t="shared" si="30"/>
        <v>3461</v>
      </c>
      <c r="O237" s="7"/>
      <c r="P237" s="19">
        <f t="shared" si="37"/>
        <v>3461</v>
      </c>
      <c r="Q237" s="19"/>
    </row>
    <row r="238" spans="1:17" s="154" customFormat="1" ht="15" customHeight="1">
      <c r="A238" s="18"/>
      <c r="B238" s="13" t="s">
        <v>252</v>
      </c>
      <c r="C238" s="192" t="s">
        <v>253</v>
      </c>
      <c r="D238" s="7"/>
      <c r="E238" s="7">
        <v>7500</v>
      </c>
      <c r="F238" s="7">
        <v>1200</v>
      </c>
      <c r="G238" s="7">
        <v>0</v>
      </c>
      <c r="H238" s="7">
        <v>3500</v>
      </c>
      <c r="I238" s="7">
        <v>0</v>
      </c>
      <c r="J238" s="7">
        <v>0</v>
      </c>
      <c r="K238" s="7">
        <v>3900</v>
      </c>
      <c r="L238" s="7"/>
      <c r="M238" s="7">
        <v>1805</v>
      </c>
      <c r="N238" s="7">
        <f t="shared" si="30"/>
        <v>2095</v>
      </c>
      <c r="O238" s="7">
        <v>0</v>
      </c>
      <c r="P238" s="19">
        <f t="shared" si="37"/>
        <v>2095</v>
      </c>
      <c r="Q238" s="19">
        <v>0</v>
      </c>
    </row>
    <row r="239" spans="1:17" s="154" customFormat="1" ht="14.25" customHeight="1">
      <c r="A239" s="18"/>
      <c r="B239" s="13" t="s">
        <v>254</v>
      </c>
      <c r="C239" s="192" t="s">
        <v>255</v>
      </c>
      <c r="D239" s="7"/>
      <c r="E239" s="7">
        <v>873</v>
      </c>
      <c r="F239" s="7">
        <v>1000</v>
      </c>
      <c r="G239" s="7">
        <v>0</v>
      </c>
      <c r="H239" s="7">
        <v>2600</v>
      </c>
      <c r="I239" s="7">
        <v>0</v>
      </c>
      <c r="J239" s="7">
        <v>0</v>
      </c>
      <c r="K239" s="7">
        <v>0</v>
      </c>
      <c r="L239" s="7"/>
      <c r="M239" s="7"/>
      <c r="N239" s="7">
        <f t="shared" si="30"/>
        <v>0</v>
      </c>
      <c r="O239" s="7">
        <v>0</v>
      </c>
      <c r="P239" s="19">
        <f t="shared" si="37"/>
        <v>0</v>
      </c>
      <c r="Q239" s="19">
        <v>0</v>
      </c>
    </row>
    <row r="240" spans="1:17" s="154" customFormat="1" ht="15.75" customHeight="1">
      <c r="A240" s="18"/>
      <c r="B240" s="13" t="s">
        <v>256</v>
      </c>
      <c r="C240" s="192" t="s">
        <v>257</v>
      </c>
      <c r="D240" s="7"/>
      <c r="E240" s="7">
        <v>126309</v>
      </c>
      <c r="F240" s="7">
        <v>0</v>
      </c>
      <c r="G240" s="7">
        <v>700</v>
      </c>
      <c r="H240" s="7">
        <v>60789</v>
      </c>
      <c r="I240" s="7">
        <v>0</v>
      </c>
      <c r="J240" s="7">
        <v>0</v>
      </c>
      <c r="K240" s="7">
        <v>70190</v>
      </c>
      <c r="L240" s="7">
        <v>0</v>
      </c>
      <c r="M240" s="7"/>
      <c r="N240" s="7">
        <f t="shared" si="30"/>
        <v>70190</v>
      </c>
      <c r="O240" s="7">
        <v>0</v>
      </c>
      <c r="P240" s="19">
        <f t="shared" si="37"/>
        <v>70190</v>
      </c>
      <c r="Q240" s="19">
        <v>0</v>
      </c>
    </row>
    <row r="241" spans="1:17" s="154" customFormat="1" ht="15" customHeight="1">
      <c r="A241" s="18"/>
      <c r="B241" s="13" t="s">
        <v>272</v>
      </c>
      <c r="C241" s="192" t="s">
        <v>273</v>
      </c>
      <c r="D241" s="7"/>
      <c r="E241" s="7"/>
      <c r="F241" s="7"/>
      <c r="G241" s="7"/>
      <c r="H241" s="7">
        <v>1021</v>
      </c>
      <c r="I241" s="7">
        <v>0</v>
      </c>
      <c r="J241" s="7">
        <v>0</v>
      </c>
      <c r="K241" s="7">
        <v>1212</v>
      </c>
      <c r="L241" s="7">
        <v>0</v>
      </c>
      <c r="M241" s="7">
        <v>0</v>
      </c>
      <c r="N241" s="7">
        <f t="shared" si="30"/>
        <v>1212</v>
      </c>
      <c r="O241" s="7">
        <v>0</v>
      </c>
      <c r="P241" s="19">
        <f t="shared" si="37"/>
        <v>1212</v>
      </c>
      <c r="Q241" s="19">
        <v>0</v>
      </c>
    </row>
    <row r="242" spans="1:17" s="154" customFormat="1" ht="17.25" customHeight="1">
      <c r="A242" s="18"/>
      <c r="B242" s="13" t="s">
        <v>355</v>
      </c>
      <c r="C242" s="229" t="s">
        <v>634</v>
      </c>
      <c r="D242" s="7"/>
      <c r="E242" s="7"/>
      <c r="F242" s="7"/>
      <c r="G242" s="7"/>
      <c r="H242" s="7"/>
      <c r="I242" s="7"/>
      <c r="J242" s="7"/>
      <c r="K242" s="7">
        <v>6863</v>
      </c>
      <c r="L242" s="7">
        <v>0</v>
      </c>
      <c r="M242" s="7">
        <v>6863</v>
      </c>
      <c r="N242" s="7">
        <f t="shared" si="30"/>
        <v>0</v>
      </c>
      <c r="O242" s="7"/>
      <c r="P242" s="19">
        <f t="shared" si="37"/>
        <v>0</v>
      </c>
      <c r="Q242" s="19"/>
    </row>
    <row r="243" spans="1:17" s="154" customFormat="1" ht="20.25" customHeight="1">
      <c r="A243" s="18"/>
      <c r="B243" s="13" t="s">
        <v>392</v>
      </c>
      <c r="C243" s="107" t="s">
        <v>402</v>
      </c>
      <c r="D243" s="7"/>
      <c r="E243" s="7" t="e">
        <f>E244+#REF!</f>
        <v>#REF!</v>
      </c>
      <c r="F243" s="7" t="e">
        <f>F244+#REF!</f>
        <v>#REF!</v>
      </c>
      <c r="G243" s="7" t="e">
        <f>G244+#REF!</f>
        <v>#REF!</v>
      </c>
      <c r="H243" s="7" t="e">
        <f>H244+#REF!+H245</f>
        <v>#REF!</v>
      </c>
      <c r="I243" s="7">
        <v>0</v>
      </c>
      <c r="J243" s="7">
        <v>0</v>
      </c>
      <c r="K243" s="7">
        <f>K244+K245</f>
        <v>259403</v>
      </c>
      <c r="L243" s="7">
        <f>L244+L245</f>
        <v>0</v>
      </c>
      <c r="M243" s="7">
        <f>M244+M245</f>
        <v>3161</v>
      </c>
      <c r="N243" s="7">
        <f t="shared" si="30"/>
        <v>256242</v>
      </c>
      <c r="O243" s="7">
        <v>0</v>
      </c>
      <c r="P243" s="19">
        <f t="shared" si="37"/>
        <v>256242</v>
      </c>
      <c r="Q243" s="19">
        <v>0</v>
      </c>
    </row>
    <row r="244" spans="1:17" s="154" customFormat="1" ht="15" customHeight="1">
      <c r="A244" s="18"/>
      <c r="B244" s="13"/>
      <c r="C244" s="192" t="s">
        <v>403</v>
      </c>
      <c r="D244" s="7"/>
      <c r="E244" s="7">
        <v>246759</v>
      </c>
      <c r="F244" s="7">
        <v>0</v>
      </c>
      <c r="G244" s="7">
        <v>72750</v>
      </c>
      <c r="H244" s="7">
        <v>62124</v>
      </c>
      <c r="I244" s="7">
        <v>0</v>
      </c>
      <c r="J244" s="7">
        <v>0</v>
      </c>
      <c r="K244" s="7">
        <v>60742</v>
      </c>
      <c r="L244" s="7">
        <v>0</v>
      </c>
      <c r="M244" s="7">
        <v>3161</v>
      </c>
      <c r="N244" s="7">
        <f t="shared" si="30"/>
        <v>57581</v>
      </c>
      <c r="O244" s="7">
        <v>0</v>
      </c>
      <c r="P244" s="19">
        <f t="shared" si="37"/>
        <v>57581</v>
      </c>
      <c r="Q244" s="19">
        <v>0</v>
      </c>
    </row>
    <row r="245" spans="1:17" s="154" customFormat="1" ht="15.75" customHeight="1">
      <c r="A245" s="18"/>
      <c r="B245" s="7"/>
      <c r="C245" s="192" t="s">
        <v>404</v>
      </c>
      <c r="D245" s="7"/>
      <c r="E245" s="7"/>
      <c r="F245" s="7"/>
      <c r="G245" s="7"/>
      <c r="H245" s="7">
        <v>171443</v>
      </c>
      <c r="I245" s="7">
        <v>0</v>
      </c>
      <c r="J245" s="7">
        <v>0</v>
      </c>
      <c r="K245" s="7">
        <v>198661</v>
      </c>
      <c r="L245" s="7">
        <v>0</v>
      </c>
      <c r="M245" s="7"/>
      <c r="N245" s="7">
        <f t="shared" si="30"/>
        <v>198661</v>
      </c>
      <c r="O245" s="7">
        <v>0</v>
      </c>
      <c r="P245" s="19">
        <f t="shared" si="37"/>
        <v>198661</v>
      </c>
      <c r="Q245" s="19">
        <v>0</v>
      </c>
    </row>
    <row r="246" spans="1:17" s="154" customFormat="1" ht="18.75" customHeight="1">
      <c r="A246" s="169" t="s">
        <v>185</v>
      </c>
      <c r="B246" s="140"/>
      <c r="C246" s="140" t="s">
        <v>186</v>
      </c>
      <c r="D246" s="140"/>
      <c r="E246" s="140"/>
      <c r="F246" s="140"/>
      <c r="G246" s="140"/>
      <c r="H246" s="140" t="e">
        <f>H247+H249+H250+H251+H252+H253+H254+#REF!</f>
        <v>#REF!</v>
      </c>
      <c r="I246" s="140" t="e">
        <f>I247+I249+I250+I251+I252+I253+I254+#REF!</f>
        <v>#REF!</v>
      </c>
      <c r="J246" s="140" t="e">
        <f>J247+J249+J250+J251+J252+J253+J254+#REF!</f>
        <v>#REF!</v>
      </c>
      <c r="K246" s="140">
        <f>SUM(K247:K254)</f>
        <v>1046620</v>
      </c>
      <c r="L246" s="140">
        <f>SUM(L247:L254)</f>
        <v>4434</v>
      </c>
      <c r="M246" s="140">
        <f>SUM(M247:M254)</f>
        <v>8297</v>
      </c>
      <c r="N246" s="140">
        <f t="shared" si="30"/>
        <v>1042757</v>
      </c>
      <c r="O246" s="140">
        <f>O247+O249+O250+O251+O252+O253+O254+O248</f>
        <v>0</v>
      </c>
      <c r="P246" s="140">
        <f>P247+P249+P250+P251+P252+P253+P254+P248</f>
        <v>1042757</v>
      </c>
      <c r="Q246" s="140">
        <f>Q247+Q249+Q250+Q251+Q252+Q253+Q254+Q248</f>
        <v>0</v>
      </c>
    </row>
    <row r="247" spans="1:17" s="154" customFormat="1" ht="15.75" customHeight="1">
      <c r="A247" s="18"/>
      <c r="B247" s="7">
        <v>4010</v>
      </c>
      <c r="C247" s="229" t="s">
        <v>235</v>
      </c>
      <c r="D247" s="7"/>
      <c r="E247" s="7"/>
      <c r="F247" s="7"/>
      <c r="G247" s="7"/>
      <c r="H247" s="7">
        <v>322855</v>
      </c>
      <c r="I247" s="7">
        <v>0</v>
      </c>
      <c r="J247" s="7">
        <v>0</v>
      </c>
      <c r="K247" s="7">
        <v>763051</v>
      </c>
      <c r="L247" s="7">
        <v>0</v>
      </c>
      <c r="M247" s="7">
        <v>7801</v>
      </c>
      <c r="N247" s="7">
        <f t="shared" si="30"/>
        <v>755250</v>
      </c>
      <c r="O247" s="7">
        <v>0</v>
      </c>
      <c r="P247" s="19">
        <f>N247</f>
        <v>755250</v>
      </c>
      <c r="Q247" s="19">
        <v>0</v>
      </c>
    </row>
    <row r="248" spans="1:17" s="154" customFormat="1" ht="15" customHeight="1">
      <c r="A248" s="18"/>
      <c r="B248" s="7">
        <v>4040</v>
      </c>
      <c r="C248" s="229" t="s">
        <v>239</v>
      </c>
      <c r="D248" s="7"/>
      <c r="E248" s="7"/>
      <c r="F248" s="7"/>
      <c r="G248" s="7"/>
      <c r="H248" s="7"/>
      <c r="I248" s="7"/>
      <c r="J248" s="7"/>
      <c r="K248" s="7">
        <v>54240</v>
      </c>
      <c r="L248" s="7"/>
      <c r="M248" s="7">
        <v>0</v>
      </c>
      <c r="N248" s="7">
        <f t="shared" si="30"/>
        <v>54240</v>
      </c>
      <c r="O248" s="7">
        <v>0</v>
      </c>
      <c r="P248" s="19">
        <f aca="true" t="shared" si="38" ref="P248:P254">N248</f>
        <v>54240</v>
      </c>
      <c r="Q248" s="19">
        <v>0</v>
      </c>
    </row>
    <row r="249" spans="1:17" s="154" customFormat="1" ht="14.25" customHeight="1">
      <c r="A249" s="18"/>
      <c r="B249" s="7">
        <v>4110</v>
      </c>
      <c r="C249" s="229" t="s">
        <v>307</v>
      </c>
      <c r="D249" s="7"/>
      <c r="E249" s="7"/>
      <c r="F249" s="7"/>
      <c r="G249" s="7"/>
      <c r="H249" s="7">
        <v>58061</v>
      </c>
      <c r="I249" s="7">
        <v>0</v>
      </c>
      <c r="J249" s="7">
        <v>0</v>
      </c>
      <c r="K249" s="7">
        <v>134260</v>
      </c>
      <c r="L249" s="7">
        <v>2617</v>
      </c>
      <c r="M249" s="7">
        <v>135</v>
      </c>
      <c r="N249" s="7">
        <f t="shared" si="30"/>
        <v>136742</v>
      </c>
      <c r="O249" s="7">
        <v>0</v>
      </c>
      <c r="P249" s="19">
        <f t="shared" si="38"/>
        <v>136742</v>
      </c>
      <c r="Q249" s="19">
        <v>0</v>
      </c>
    </row>
    <row r="250" spans="1:17" s="154" customFormat="1" ht="14.25" customHeight="1">
      <c r="A250" s="18"/>
      <c r="B250" s="7">
        <v>4120</v>
      </c>
      <c r="C250" s="229" t="s">
        <v>243</v>
      </c>
      <c r="D250" s="7"/>
      <c r="E250" s="7"/>
      <c r="F250" s="7"/>
      <c r="G250" s="7"/>
      <c r="H250" s="7">
        <v>7696</v>
      </c>
      <c r="I250" s="7">
        <v>0</v>
      </c>
      <c r="J250" s="7">
        <v>0</v>
      </c>
      <c r="K250" s="7">
        <v>18072</v>
      </c>
      <c r="L250" s="7">
        <v>1363</v>
      </c>
      <c r="M250" s="7">
        <v>2</v>
      </c>
      <c r="N250" s="7">
        <f aca="true" t="shared" si="39" ref="N250:N280">K250+L250-M250</f>
        <v>19433</v>
      </c>
      <c r="O250" s="7">
        <v>0</v>
      </c>
      <c r="P250" s="19">
        <f t="shared" si="38"/>
        <v>19433</v>
      </c>
      <c r="Q250" s="19">
        <v>0</v>
      </c>
    </row>
    <row r="251" spans="1:17" s="154" customFormat="1" ht="14.25" customHeight="1">
      <c r="A251" s="18"/>
      <c r="B251" s="7">
        <v>4210</v>
      </c>
      <c r="C251" s="192" t="s">
        <v>271</v>
      </c>
      <c r="D251" s="7"/>
      <c r="E251" s="7"/>
      <c r="F251" s="7"/>
      <c r="G251" s="7"/>
      <c r="H251" s="7">
        <v>44979</v>
      </c>
      <c r="I251" s="7">
        <v>0</v>
      </c>
      <c r="J251" s="7">
        <v>0</v>
      </c>
      <c r="K251" s="7">
        <v>2040</v>
      </c>
      <c r="L251" s="7"/>
      <c r="M251" s="7">
        <v>254</v>
      </c>
      <c r="N251" s="7">
        <f t="shared" si="39"/>
        <v>1786</v>
      </c>
      <c r="O251" s="7">
        <v>0</v>
      </c>
      <c r="P251" s="19">
        <f t="shared" si="38"/>
        <v>1786</v>
      </c>
      <c r="Q251" s="19">
        <v>0</v>
      </c>
    </row>
    <row r="252" spans="1:17" s="154" customFormat="1" ht="15" customHeight="1">
      <c r="A252" s="18"/>
      <c r="B252" s="7">
        <v>4260</v>
      </c>
      <c r="C252" s="192" t="s">
        <v>350</v>
      </c>
      <c r="D252" s="7"/>
      <c r="E252" s="7"/>
      <c r="F252" s="7"/>
      <c r="G252" s="7"/>
      <c r="H252" s="7">
        <v>12000</v>
      </c>
      <c r="I252" s="7">
        <v>0</v>
      </c>
      <c r="J252" s="7">
        <v>0</v>
      </c>
      <c r="K252" s="7">
        <v>17200</v>
      </c>
      <c r="L252" s="7"/>
      <c r="M252" s="7"/>
      <c r="N252" s="7">
        <f t="shared" si="39"/>
        <v>17200</v>
      </c>
      <c r="O252" s="7">
        <v>0</v>
      </c>
      <c r="P252" s="19">
        <f t="shared" si="38"/>
        <v>17200</v>
      </c>
      <c r="Q252" s="19">
        <v>0</v>
      </c>
    </row>
    <row r="253" spans="1:17" s="154" customFormat="1" ht="15.75" customHeight="1">
      <c r="A253" s="18"/>
      <c r="B253" s="7">
        <v>4300</v>
      </c>
      <c r="C253" s="192" t="s">
        <v>251</v>
      </c>
      <c r="D253" s="7"/>
      <c r="E253" s="7"/>
      <c r="F253" s="7"/>
      <c r="G253" s="7"/>
      <c r="H253" s="7">
        <v>4664</v>
      </c>
      <c r="I253" s="7">
        <v>0</v>
      </c>
      <c r="J253" s="7">
        <v>0</v>
      </c>
      <c r="K253" s="7">
        <v>10600</v>
      </c>
      <c r="L253" s="7"/>
      <c r="M253" s="7">
        <v>105</v>
      </c>
      <c r="N253" s="7">
        <f t="shared" si="39"/>
        <v>10495</v>
      </c>
      <c r="O253" s="7">
        <v>0</v>
      </c>
      <c r="P253" s="19">
        <f t="shared" si="38"/>
        <v>10495</v>
      </c>
      <c r="Q253" s="19">
        <v>0</v>
      </c>
    </row>
    <row r="254" spans="1:17" s="154" customFormat="1" ht="15" customHeight="1">
      <c r="A254" s="18"/>
      <c r="B254" s="7">
        <v>4440</v>
      </c>
      <c r="C254" s="192" t="s">
        <v>257</v>
      </c>
      <c r="D254" s="7"/>
      <c r="E254" s="7"/>
      <c r="F254" s="7"/>
      <c r="G254" s="7"/>
      <c r="H254" s="7">
        <v>15378</v>
      </c>
      <c r="I254" s="7">
        <v>0</v>
      </c>
      <c r="J254" s="7">
        <v>0</v>
      </c>
      <c r="K254" s="7">
        <v>47157</v>
      </c>
      <c r="L254" s="7">
        <v>454</v>
      </c>
      <c r="M254" s="7"/>
      <c r="N254" s="7">
        <f t="shared" si="39"/>
        <v>47611</v>
      </c>
      <c r="O254" s="7">
        <v>0</v>
      </c>
      <c r="P254" s="19">
        <f t="shared" si="38"/>
        <v>47611</v>
      </c>
      <c r="Q254" s="19">
        <v>0</v>
      </c>
    </row>
    <row r="255" spans="1:17" s="154" customFormat="1" ht="18.75" customHeight="1">
      <c r="A255" s="169" t="s">
        <v>406</v>
      </c>
      <c r="B255" s="178"/>
      <c r="C255" s="140" t="s">
        <v>407</v>
      </c>
      <c r="D255" s="140">
        <f>D257+D258+D259+D256</f>
        <v>1881934</v>
      </c>
      <c r="E255" s="140" t="e">
        <f>E257+E258+E259+E260+#REF!+E256+E263+E264+E265+E266+E268+E270+E272+E273+E278+E277</f>
        <v>#REF!</v>
      </c>
      <c r="F255" s="140" t="e">
        <f>F257+F258+F259+F260+#REF!+F256+F263+F264+F265+F266+F268+F270+F272+F273+F278+F277</f>
        <v>#REF!</v>
      </c>
      <c r="G255" s="140" t="e">
        <f>G257+G258+G259+G260+#REF!+G256+G263+G264+G265+G266+G268+G270+G272+G273+G278+G277</f>
        <v>#REF!</v>
      </c>
      <c r="H255" s="140" t="e">
        <f>H257+H258+H259+H260+#REF!+H256+H263+H264+H265+H266+H268+H270+H272+H273+H278+H277+H261+H274+#REF!+#REF!</f>
        <v>#REF!</v>
      </c>
      <c r="I255" s="140" t="e">
        <f>I257+I258+I259+I260+#REF!+I256+I263+I264+I265+I266+I268+I270+I272+I273+I278+I277+I261+I274+#REF!+#REF!</f>
        <v>#REF!</v>
      </c>
      <c r="J255" s="140" t="e">
        <f>J257+J258+J259+J260+#REF!+J256+J263+J264+J265+J266+J268+J270+J272+J273+J278+J277+J261+J274+#REF!+#REF!</f>
        <v>#REF!</v>
      </c>
      <c r="K255" s="140">
        <f>SUM(K256:K278)</f>
        <v>4880222</v>
      </c>
      <c r="L255" s="140">
        <f>SUM(L256:L278)</f>
        <v>119340</v>
      </c>
      <c r="M255" s="140">
        <f>SUM(M256:M278)</f>
        <v>104300</v>
      </c>
      <c r="N255" s="140">
        <f t="shared" si="39"/>
        <v>4895262</v>
      </c>
      <c r="O255" s="140">
        <f>SUM(O256:O278)</f>
        <v>0</v>
      </c>
      <c r="P255" s="140">
        <f>SUM(P256:P278)</f>
        <v>4895262</v>
      </c>
      <c r="Q255" s="140">
        <f>Q257+Q258+Q259+Q260+Q256+Q262+Q263+Q264+Q265+Q266+Q268+Q269+Q270+Q271+Q272+Q273+Q276+Q278+Q277+Q261+Q274</f>
        <v>0</v>
      </c>
    </row>
    <row r="256" spans="1:17" s="154" customFormat="1" ht="14.25" customHeight="1">
      <c r="A256" s="18"/>
      <c r="B256" s="13" t="s">
        <v>218</v>
      </c>
      <c r="C256" s="229" t="s">
        <v>408</v>
      </c>
      <c r="D256" s="7">
        <v>262062</v>
      </c>
      <c r="E256" s="7">
        <v>7439</v>
      </c>
      <c r="F256" s="7">
        <v>0</v>
      </c>
      <c r="G256" s="7">
        <v>0</v>
      </c>
      <c r="H256" s="7">
        <v>4872</v>
      </c>
      <c r="I256" s="7">
        <v>0</v>
      </c>
      <c r="J256" s="7">
        <v>0</v>
      </c>
      <c r="K256" s="7">
        <v>5120</v>
      </c>
      <c r="L256" s="7">
        <v>0</v>
      </c>
      <c r="M256" s="7"/>
      <c r="N256" s="7">
        <f t="shared" si="39"/>
        <v>5120</v>
      </c>
      <c r="O256" s="7">
        <v>0</v>
      </c>
      <c r="P256" s="19">
        <f>N256</f>
        <v>5120</v>
      </c>
      <c r="Q256" s="19">
        <v>0</v>
      </c>
    </row>
    <row r="257" spans="1:17" s="154" customFormat="1" ht="15" customHeight="1">
      <c r="A257" s="18"/>
      <c r="B257" s="13" t="s">
        <v>234</v>
      </c>
      <c r="C257" s="229" t="s">
        <v>235</v>
      </c>
      <c r="D257" s="7">
        <v>1306363</v>
      </c>
      <c r="E257" s="7">
        <v>2620120</v>
      </c>
      <c r="F257" s="7">
        <v>76198</v>
      </c>
      <c r="G257" s="7">
        <v>0</v>
      </c>
      <c r="H257" s="7">
        <v>2507234</v>
      </c>
      <c r="I257" s="7">
        <v>0</v>
      </c>
      <c r="J257" s="7">
        <v>0</v>
      </c>
      <c r="K257" s="7">
        <v>2872072</v>
      </c>
      <c r="L257" s="7">
        <v>28969</v>
      </c>
      <c r="M257" s="7">
        <v>44368</v>
      </c>
      <c r="N257" s="7">
        <f t="shared" si="39"/>
        <v>2856673</v>
      </c>
      <c r="O257" s="7">
        <v>0</v>
      </c>
      <c r="P257" s="19">
        <f aca="true" t="shared" si="40" ref="P257:P280">N257</f>
        <v>2856673</v>
      </c>
      <c r="Q257" s="19">
        <v>0</v>
      </c>
    </row>
    <row r="258" spans="1:17" s="154" customFormat="1" ht="15" customHeight="1">
      <c r="A258" s="18"/>
      <c r="B258" s="13" t="s">
        <v>238</v>
      </c>
      <c r="C258" s="229" t="s">
        <v>239</v>
      </c>
      <c r="D258" s="7">
        <v>74072</v>
      </c>
      <c r="E258" s="7">
        <v>90144</v>
      </c>
      <c r="F258" s="7">
        <v>0</v>
      </c>
      <c r="G258" s="7">
        <v>0</v>
      </c>
      <c r="H258" s="7">
        <v>229094</v>
      </c>
      <c r="I258" s="7">
        <v>0</v>
      </c>
      <c r="J258" s="7">
        <v>0</v>
      </c>
      <c r="K258" s="7">
        <v>232928</v>
      </c>
      <c r="L258" s="7">
        <v>0</v>
      </c>
      <c r="M258" s="7"/>
      <c r="N258" s="7">
        <f t="shared" si="39"/>
        <v>232928</v>
      </c>
      <c r="O258" s="7">
        <v>0</v>
      </c>
      <c r="P258" s="19">
        <f t="shared" si="40"/>
        <v>232928</v>
      </c>
      <c r="Q258" s="19">
        <v>0</v>
      </c>
    </row>
    <row r="259" spans="1:17" s="154" customFormat="1" ht="15" customHeight="1">
      <c r="A259" s="18"/>
      <c r="B259" s="20" t="s">
        <v>293</v>
      </c>
      <c r="C259" s="229" t="s">
        <v>307</v>
      </c>
      <c r="D259" s="7">
        <v>239437</v>
      </c>
      <c r="E259" s="7">
        <v>480155</v>
      </c>
      <c r="F259" s="7">
        <v>6005</v>
      </c>
      <c r="G259" s="7">
        <v>0</v>
      </c>
      <c r="H259" s="7">
        <v>471989</v>
      </c>
      <c r="I259" s="7">
        <v>0</v>
      </c>
      <c r="J259" s="7">
        <v>0</v>
      </c>
      <c r="K259" s="7">
        <v>510820</v>
      </c>
      <c r="L259" s="7"/>
      <c r="M259" s="7">
        <v>7115</v>
      </c>
      <c r="N259" s="7">
        <f t="shared" si="39"/>
        <v>503705</v>
      </c>
      <c r="O259" s="7">
        <v>0</v>
      </c>
      <c r="P259" s="19">
        <f t="shared" si="40"/>
        <v>503705</v>
      </c>
      <c r="Q259" s="19">
        <v>0</v>
      </c>
    </row>
    <row r="260" spans="1:17" s="154" customFormat="1" ht="16.5" customHeight="1">
      <c r="A260" s="18"/>
      <c r="B260" s="20" t="s">
        <v>242</v>
      </c>
      <c r="C260" s="229" t="s">
        <v>243</v>
      </c>
      <c r="D260" s="7"/>
      <c r="E260" s="7">
        <v>62713</v>
      </c>
      <c r="F260" s="7">
        <v>822</v>
      </c>
      <c r="G260" s="7">
        <v>0</v>
      </c>
      <c r="H260" s="7">
        <v>64920</v>
      </c>
      <c r="I260" s="7">
        <v>0</v>
      </c>
      <c r="J260" s="7">
        <v>0</v>
      </c>
      <c r="K260" s="7">
        <v>69612</v>
      </c>
      <c r="L260" s="7">
        <v>4035</v>
      </c>
      <c r="M260" s="7">
        <v>24</v>
      </c>
      <c r="N260" s="7">
        <f t="shared" si="39"/>
        <v>73623</v>
      </c>
      <c r="O260" s="7">
        <v>0</v>
      </c>
      <c r="P260" s="19">
        <f t="shared" si="40"/>
        <v>73623</v>
      </c>
      <c r="Q260" s="19">
        <v>0</v>
      </c>
    </row>
    <row r="261" spans="1:17" s="154" customFormat="1" ht="15" customHeight="1">
      <c r="A261" s="18"/>
      <c r="B261" s="13" t="s">
        <v>400</v>
      </c>
      <c r="C261" s="229" t="s">
        <v>409</v>
      </c>
      <c r="D261" s="7"/>
      <c r="E261" s="7"/>
      <c r="F261" s="7"/>
      <c r="G261" s="7"/>
      <c r="H261" s="7">
        <v>8642</v>
      </c>
      <c r="I261" s="7">
        <v>0</v>
      </c>
      <c r="J261" s="7">
        <v>0</v>
      </c>
      <c r="K261" s="7">
        <v>6100</v>
      </c>
      <c r="L261" s="7"/>
      <c r="M261" s="7">
        <v>6100</v>
      </c>
      <c r="N261" s="7">
        <f t="shared" si="39"/>
        <v>0</v>
      </c>
      <c r="O261" s="7">
        <v>0</v>
      </c>
      <c r="P261" s="19">
        <f t="shared" si="40"/>
        <v>0</v>
      </c>
      <c r="Q261" s="19">
        <v>0</v>
      </c>
    </row>
    <row r="262" spans="1:17" s="154" customFormat="1" ht="15.75" customHeight="1">
      <c r="A262" s="18"/>
      <c r="B262" s="13" t="s">
        <v>97</v>
      </c>
      <c r="C262" s="229" t="s">
        <v>109</v>
      </c>
      <c r="D262" s="7"/>
      <c r="E262" s="7"/>
      <c r="F262" s="7"/>
      <c r="G262" s="7"/>
      <c r="H262" s="7"/>
      <c r="I262" s="7"/>
      <c r="J262" s="7"/>
      <c r="K262" s="7">
        <v>11326</v>
      </c>
      <c r="L262" s="7">
        <v>1000</v>
      </c>
      <c r="M262" s="7">
        <v>2600</v>
      </c>
      <c r="N262" s="7">
        <f t="shared" si="39"/>
        <v>9726</v>
      </c>
      <c r="O262" s="7">
        <v>0</v>
      </c>
      <c r="P262" s="19">
        <f t="shared" si="40"/>
        <v>9726</v>
      </c>
      <c r="Q262" s="19">
        <v>0</v>
      </c>
    </row>
    <row r="263" spans="1:17" s="154" customFormat="1" ht="15" customHeight="1">
      <c r="A263" s="18"/>
      <c r="B263" s="13" t="s">
        <v>244</v>
      </c>
      <c r="C263" s="192" t="s">
        <v>271</v>
      </c>
      <c r="D263" s="7"/>
      <c r="E263" s="7">
        <v>262668</v>
      </c>
      <c r="F263" s="7">
        <v>7750</v>
      </c>
      <c r="G263" s="7">
        <v>0</v>
      </c>
      <c r="H263" s="7">
        <v>374867</v>
      </c>
      <c r="I263" s="7">
        <v>0</v>
      </c>
      <c r="J263" s="7">
        <v>0</v>
      </c>
      <c r="K263" s="7">
        <v>597220</v>
      </c>
      <c r="L263" s="7">
        <v>62424</v>
      </c>
      <c r="M263" s="7">
        <v>15190</v>
      </c>
      <c r="N263" s="7">
        <f t="shared" si="39"/>
        <v>644454</v>
      </c>
      <c r="O263" s="7">
        <v>0</v>
      </c>
      <c r="P263" s="19">
        <f t="shared" si="40"/>
        <v>644454</v>
      </c>
      <c r="Q263" s="19">
        <v>0</v>
      </c>
    </row>
    <row r="264" spans="1:17" s="154" customFormat="1" ht="14.25" customHeight="1">
      <c r="A264" s="18"/>
      <c r="B264" s="13" t="s">
        <v>389</v>
      </c>
      <c r="C264" s="192" t="s">
        <v>390</v>
      </c>
      <c r="D264" s="7"/>
      <c r="E264" s="7">
        <v>5206</v>
      </c>
      <c r="F264" s="7">
        <v>0</v>
      </c>
      <c r="G264" s="7">
        <v>1000</v>
      </c>
      <c r="H264" s="7">
        <v>6041</v>
      </c>
      <c r="I264" s="7">
        <v>0</v>
      </c>
      <c r="J264" s="7">
        <v>0</v>
      </c>
      <c r="K264" s="7">
        <v>25200</v>
      </c>
      <c r="L264" s="7">
        <v>0</v>
      </c>
      <c r="M264" s="7">
        <v>4034</v>
      </c>
      <c r="N264" s="7">
        <f t="shared" si="39"/>
        <v>21166</v>
      </c>
      <c r="O264" s="7">
        <v>0</v>
      </c>
      <c r="P264" s="19">
        <f t="shared" si="40"/>
        <v>21166</v>
      </c>
      <c r="Q264" s="19">
        <v>0</v>
      </c>
    </row>
    <row r="265" spans="1:17" s="154" customFormat="1" ht="14.25" customHeight="1">
      <c r="A265" s="18"/>
      <c r="B265" s="13" t="s">
        <v>246</v>
      </c>
      <c r="C265" s="192" t="s">
        <v>350</v>
      </c>
      <c r="D265" s="7"/>
      <c r="E265" s="7">
        <v>47707</v>
      </c>
      <c r="F265" s="7">
        <v>0</v>
      </c>
      <c r="G265" s="7">
        <v>3000</v>
      </c>
      <c r="H265" s="7">
        <v>88260</v>
      </c>
      <c r="I265" s="7">
        <v>0</v>
      </c>
      <c r="J265" s="7">
        <v>0</v>
      </c>
      <c r="K265" s="7">
        <v>65278</v>
      </c>
      <c r="L265" s="7">
        <v>22173</v>
      </c>
      <c r="M265" s="7">
        <v>3191</v>
      </c>
      <c r="N265" s="7">
        <f t="shared" si="39"/>
        <v>84260</v>
      </c>
      <c r="O265" s="7">
        <v>0</v>
      </c>
      <c r="P265" s="19">
        <f t="shared" si="40"/>
        <v>84260</v>
      </c>
      <c r="Q265" s="19">
        <v>0</v>
      </c>
    </row>
    <row r="266" spans="1:17" s="154" customFormat="1" ht="14.25" customHeight="1">
      <c r="A266" s="18"/>
      <c r="B266" s="13" t="s">
        <v>248</v>
      </c>
      <c r="C266" s="192" t="s">
        <v>351</v>
      </c>
      <c r="D266" s="7"/>
      <c r="E266" s="7">
        <v>55847</v>
      </c>
      <c r="F266" s="7">
        <v>0</v>
      </c>
      <c r="G266" s="7">
        <v>765</v>
      </c>
      <c r="H266" s="7">
        <v>241716</v>
      </c>
      <c r="I266" s="7">
        <v>0</v>
      </c>
      <c r="J266" s="7">
        <v>0</v>
      </c>
      <c r="K266" s="7">
        <v>44470</v>
      </c>
      <c r="L266" s="7">
        <v>0</v>
      </c>
      <c r="M266" s="7"/>
      <c r="N266" s="7">
        <f t="shared" si="39"/>
        <v>44470</v>
      </c>
      <c r="O266" s="7">
        <v>0</v>
      </c>
      <c r="P266" s="19">
        <f t="shared" si="40"/>
        <v>44470</v>
      </c>
      <c r="Q266" s="19">
        <v>0</v>
      </c>
    </row>
    <row r="267" spans="1:17" s="154" customFormat="1" ht="14.25" customHeight="1">
      <c r="A267" s="18"/>
      <c r="B267" s="13" t="s">
        <v>314</v>
      </c>
      <c r="C267" s="192" t="s">
        <v>315</v>
      </c>
      <c r="D267" s="7"/>
      <c r="E267" s="7"/>
      <c r="F267" s="7"/>
      <c r="G267" s="7"/>
      <c r="H267" s="7"/>
      <c r="I267" s="7"/>
      <c r="J267" s="7"/>
      <c r="K267" s="7">
        <v>2625</v>
      </c>
      <c r="L267" s="7"/>
      <c r="M267" s="7">
        <v>1345</v>
      </c>
      <c r="N267" s="7">
        <f t="shared" si="39"/>
        <v>1280</v>
      </c>
      <c r="O267" s="7"/>
      <c r="P267" s="19">
        <f t="shared" si="40"/>
        <v>1280</v>
      </c>
      <c r="Q267" s="19">
        <v>0</v>
      </c>
    </row>
    <row r="268" spans="1:17" s="154" customFormat="1" ht="14.25" customHeight="1">
      <c r="A268" s="18"/>
      <c r="B268" s="13" t="s">
        <v>250</v>
      </c>
      <c r="C268" s="192" t="s">
        <v>352</v>
      </c>
      <c r="D268" s="7"/>
      <c r="E268" s="7">
        <v>36614</v>
      </c>
      <c r="F268" s="7">
        <v>3715</v>
      </c>
      <c r="G268" s="7">
        <v>0</v>
      </c>
      <c r="H268" s="7">
        <v>96150</v>
      </c>
      <c r="I268" s="7">
        <v>0</v>
      </c>
      <c r="J268" s="7">
        <v>0</v>
      </c>
      <c r="K268" s="7">
        <v>131704</v>
      </c>
      <c r="L268" s="7">
        <v>676</v>
      </c>
      <c r="M268" s="7">
        <v>13220</v>
      </c>
      <c r="N268" s="7">
        <f t="shared" si="39"/>
        <v>119160</v>
      </c>
      <c r="O268" s="7">
        <v>0</v>
      </c>
      <c r="P268" s="19">
        <f t="shared" si="40"/>
        <v>119160</v>
      </c>
      <c r="Q268" s="19">
        <v>0</v>
      </c>
    </row>
    <row r="269" spans="1:17" s="154" customFormat="1" ht="15.75" customHeight="1">
      <c r="A269" s="18"/>
      <c r="B269" s="13" t="s">
        <v>110</v>
      </c>
      <c r="C269" s="192" t="s">
        <v>111</v>
      </c>
      <c r="D269" s="7"/>
      <c r="E269" s="7"/>
      <c r="F269" s="7"/>
      <c r="G269" s="7"/>
      <c r="H269" s="7"/>
      <c r="I269" s="7"/>
      <c r="J269" s="7"/>
      <c r="K269" s="7">
        <v>6206</v>
      </c>
      <c r="L269" s="7">
        <v>63</v>
      </c>
      <c r="M269" s="7">
        <v>2003</v>
      </c>
      <c r="N269" s="7">
        <f t="shared" si="39"/>
        <v>4266</v>
      </c>
      <c r="O269" s="7">
        <v>0</v>
      </c>
      <c r="P269" s="19">
        <f t="shared" si="40"/>
        <v>4266</v>
      </c>
      <c r="Q269" s="19">
        <v>0</v>
      </c>
    </row>
    <row r="270" spans="1:17" s="154" customFormat="1" ht="13.5" customHeight="1">
      <c r="A270" s="18"/>
      <c r="B270" s="13" t="s">
        <v>252</v>
      </c>
      <c r="C270" s="192" t="s">
        <v>253</v>
      </c>
      <c r="D270" s="7"/>
      <c r="E270" s="7">
        <v>3411</v>
      </c>
      <c r="F270" s="7">
        <v>0</v>
      </c>
      <c r="G270" s="7">
        <v>1800</v>
      </c>
      <c r="H270" s="7">
        <v>3500</v>
      </c>
      <c r="I270" s="7">
        <v>0</v>
      </c>
      <c r="J270" s="7">
        <v>0</v>
      </c>
      <c r="K270" s="7">
        <v>5500</v>
      </c>
      <c r="L270" s="7"/>
      <c r="M270" s="7"/>
      <c r="N270" s="7">
        <f t="shared" si="39"/>
        <v>5500</v>
      </c>
      <c r="O270" s="7">
        <v>0</v>
      </c>
      <c r="P270" s="19">
        <f t="shared" si="40"/>
        <v>5500</v>
      </c>
      <c r="Q270" s="19">
        <v>0</v>
      </c>
    </row>
    <row r="271" spans="1:17" s="154" customFormat="1" ht="15" customHeight="1">
      <c r="A271" s="18"/>
      <c r="B271" s="13" t="s">
        <v>190</v>
      </c>
      <c r="C271" s="192" t="s">
        <v>191</v>
      </c>
      <c r="D271" s="7"/>
      <c r="E271" s="7"/>
      <c r="F271" s="7"/>
      <c r="G271" s="7"/>
      <c r="H271" s="7"/>
      <c r="I271" s="7"/>
      <c r="J271" s="7"/>
      <c r="K271" s="7">
        <v>500</v>
      </c>
      <c r="L271" s="7"/>
      <c r="M271" s="7">
        <v>500</v>
      </c>
      <c r="N271" s="7">
        <f t="shared" si="39"/>
        <v>0</v>
      </c>
      <c r="O271" s="7">
        <v>0</v>
      </c>
      <c r="P271" s="19">
        <f t="shared" si="40"/>
        <v>0</v>
      </c>
      <c r="Q271" s="19">
        <v>0</v>
      </c>
    </row>
    <row r="272" spans="1:17" s="154" customFormat="1" ht="16.5" customHeight="1">
      <c r="A272" s="18"/>
      <c r="B272" s="13" t="s">
        <v>254</v>
      </c>
      <c r="C272" s="192" t="s">
        <v>255</v>
      </c>
      <c r="D272" s="7"/>
      <c r="E272" s="7">
        <v>5700</v>
      </c>
      <c r="F272" s="7">
        <v>0</v>
      </c>
      <c r="G272" s="7">
        <v>0</v>
      </c>
      <c r="H272" s="15">
        <v>5900</v>
      </c>
      <c r="I272" s="7">
        <v>0</v>
      </c>
      <c r="J272" s="7">
        <v>0</v>
      </c>
      <c r="K272" s="7">
        <v>0</v>
      </c>
      <c r="L272" s="7"/>
      <c r="M272" s="7"/>
      <c r="N272" s="7">
        <f t="shared" si="39"/>
        <v>0</v>
      </c>
      <c r="O272" s="7">
        <v>0</v>
      </c>
      <c r="P272" s="19">
        <f t="shared" si="40"/>
        <v>0</v>
      </c>
      <c r="Q272" s="19">
        <v>0</v>
      </c>
    </row>
    <row r="273" spans="1:17" s="154" customFormat="1" ht="15.75" customHeight="1">
      <c r="A273" s="18"/>
      <c r="B273" s="13" t="s">
        <v>256</v>
      </c>
      <c r="C273" s="192" t="s">
        <v>257</v>
      </c>
      <c r="D273" s="7"/>
      <c r="E273" s="7">
        <v>156652</v>
      </c>
      <c r="F273" s="7">
        <v>0</v>
      </c>
      <c r="G273" s="7">
        <v>1550</v>
      </c>
      <c r="H273" s="7">
        <v>123022</v>
      </c>
      <c r="I273" s="7">
        <v>0</v>
      </c>
      <c r="J273" s="7">
        <v>0</v>
      </c>
      <c r="K273" s="7">
        <v>165996</v>
      </c>
      <c r="L273" s="7"/>
      <c r="M273" s="7"/>
      <c r="N273" s="7">
        <f t="shared" si="39"/>
        <v>165996</v>
      </c>
      <c r="O273" s="7">
        <v>0</v>
      </c>
      <c r="P273" s="19">
        <f t="shared" si="40"/>
        <v>165996</v>
      </c>
      <c r="Q273" s="19">
        <v>0</v>
      </c>
    </row>
    <row r="274" spans="1:17" s="154" customFormat="1" ht="15.75" customHeight="1">
      <c r="A274" s="18"/>
      <c r="B274" s="13" t="s">
        <v>272</v>
      </c>
      <c r="C274" s="192" t="s">
        <v>273</v>
      </c>
      <c r="D274" s="7"/>
      <c r="E274" s="7"/>
      <c r="F274" s="7"/>
      <c r="G274" s="7"/>
      <c r="H274" s="7">
        <v>0</v>
      </c>
      <c r="I274" s="7">
        <v>0</v>
      </c>
      <c r="J274" s="7">
        <v>0</v>
      </c>
      <c r="K274" s="7">
        <v>207</v>
      </c>
      <c r="L274" s="7">
        <v>0</v>
      </c>
      <c r="M274" s="7"/>
      <c r="N274" s="7">
        <f t="shared" si="39"/>
        <v>207</v>
      </c>
      <c r="O274" s="7">
        <v>0</v>
      </c>
      <c r="P274" s="19">
        <f t="shared" si="40"/>
        <v>207</v>
      </c>
      <c r="Q274" s="19">
        <v>0</v>
      </c>
    </row>
    <row r="275" spans="1:17" s="154" customFormat="1" ht="15" customHeight="1">
      <c r="A275" s="18"/>
      <c r="B275" s="13" t="s">
        <v>355</v>
      </c>
      <c r="C275" s="229" t="s">
        <v>634</v>
      </c>
      <c r="D275" s="7"/>
      <c r="E275" s="7"/>
      <c r="F275" s="7"/>
      <c r="G275" s="7"/>
      <c r="H275" s="7"/>
      <c r="I275" s="7"/>
      <c r="J275" s="7"/>
      <c r="K275" s="7">
        <v>2843</v>
      </c>
      <c r="L275" s="7">
        <v>0</v>
      </c>
      <c r="M275" s="7">
        <v>2843</v>
      </c>
      <c r="N275" s="7">
        <f t="shared" si="39"/>
        <v>0</v>
      </c>
      <c r="O275" s="7"/>
      <c r="P275" s="19">
        <f t="shared" si="40"/>
        <v>0</v>
      </c>
      <c r="Q275" s="19"/>
    </row>
    <row r="276" spans="1:17" s="154" customFormat="1" ht="15" customHeight="1">
      <c r="A276" s="18"/>
      <c r="B276" s="13" t="s">
        <v>119</v>
      </c>
      <c r="C276" s="192" t="s">
        <v>529</v>
      </c>
      <c r="D276" s="7"/>
      <c r="E276" s="7"/>
      <c r="F276" s="7"/>
      <c r="G276" s="7"/>
      <c r="H276" s="7"/>
      <c r="I276" s="7"/>
      <c r="J276" s="7"/>
      <c r="K276" s="7">
        <v>2767</v>
      </c>
      <c r="L276" s="7"/>
      <c r="M276" s="7">
        <v>1767</v>
      </c>
      <c r="N276" s="7">
        <f t="shared" si="39"/>
        <v>1000</v>
      </c>
      <c r="O276" s="7">
        <v>0</v>
      </c>
      <c r="P276" s="19">
        <f t="shared" si="40"/>
        <v>1000</v>
      </c>
      <c r="Q276" s="19">
        <v>0</v>
      </c>
    </row>
    <row r="277" spans="1:17" s="154" customFormat="1" ht="16.5" customHeight="1">
      <c r="A277" s="18"/>
      <c r="B277" s="13" t="s">
        <v>274</v>
      </c>
      <c r="C277" s="229" t="s">
        <v>405</v>
      </c>
      <c r="D277" s="7"/>
      <c r="E277" s="7">
        <v>654061</v>
      </c>
      <c r="F277" s="7">
        <v>0</v>
      </c>
      <c r="G277" s="7">
        <v>0</v>
      </c>
      <c r="H277" s="7">
        <v>1886648</v>
      </c>
      <c r="I277" s="7">
        <v>0</v>
      </c>
      <c r="J277" s="7">
        <v>0</v>
      </c>
      <c r="K277" s="7">
        <v>29951</v>
      </c>
      <c r="L277" s="7">
        <v>0</v>
      </c>
      <c r="M277" s="7">
        <v>0</v>
      </c>
      <c r="N277" s="7">
        <f t="shared" si="39"/>
        <v>29951</v>
      </c>
      <c r="O277" s="7">
        <v>0</v>
      </c>
      <c r="P277" s="19">
        <f t="shared" si="40"/>
        <v>29951</v>
      </c>
      <c r="Q277" s="19">
        <v>0</v>
      </c>
    </row>
    <row r="278" spans="1:17" s="154" customFormat="1" ht="15" customHeight="1">
      <c r="A278" s="18"/>
      <c r="B278" s="13" t="s">
        <v>392</v>
      </c>
      <c r="C278" s="107" t="s">
        <v>410</v>
      </c>
      <c r="D278" s="7">
        <v>0</v>
      </c>
      <c r="E278" s="7">
        <v>257318</v>
      </c>
      <c r="F278" s="7">
        <v>0</v>
      </c>
      <c r="G278" s="7">
        <v>74165</v>
      </c>
      <c r="H278" s="7" t="e">
        <f>H279+H280+#REF!</f>
        <v>#REF!</v>
      </c>
      <c r="I278" s="7">
        <v>0</v>
      </c>
      <c r="J278" s="7">
        <v>0</v>
      </c>
      <c r="K278" s="7">
        <f>K279+K280</f>
        <v>91777</v>
      </c>
      <c r="L278" s="7">
        <f>L279+L280</f>
        <v>0</v>
      </c>
      <c r="M278" s="7">
        <f>M279+M280</f>
        <v>0</v>
      </c>
      <c r="N278" s="7">
        <f t="shared" si="39"/>
        <v>91777</v>
      </c>
      <c r="O278" s="7">
        <f>O279+O280</f>
        <v>0</v>
      </c>
      <c r="P278" s="7">
        <f>P279+P280</f>
        <v>91777</v>
      </c>
      <c r="Q278" s="7">
        <f>Q279+Q280</f>
        <v>0</v>
      </c>
    </row>
    <row r="279" spans="1:17" s="154" customFormat="1" ht="15.75" customHeight="1">
      <c r="A279" s="18"/>
      <c r="B279" s="13"/>
      <c r="C279" s="209" t="s">
        <v>403</v>
      </c>
      <c r="D279" s="7"/>
      <c r="E279" s="7"/>
      <c r="F279" s="7"/>
      <c r="G279" s="7"/>
      <c r="H279" s="7">
        <v>227897</v>
      </c>
      <c r="I279" s="7">
        <v>0</v>
      </c>
      <c r="J279" s="7">
        <v>0</v>
      </c>
      <c r="K279" s="7">
        <v>56782</v>
      </c>
      <c r="L279" s="7">
        <v>0</v>
      </c>
      <c r="M279" s="7">
        <v>0</v>
      </c>
      <c r="N279" s="7">
        <f t="shared" si="39"/>
        <v>56782</v>
      </c>
      <c r="O279" s="7">
        <v>0</v>
      </c>
      <c r="P279" s="19">
        <f t="shared" si="40"/>
        <v>56782</v>
      </c>
      <c r="Q279" s="19">
        <v>0</v>
      </c>
    </row>
    <row r="280" spans="1:17" s="154" customFormat="1" ht="15" customHeight="1">
      <c r="A280" s="18"/>
      <c r="B280" s="13"/>
      <c r="C280" s="209" t="s">
        <v>404</v>
      </c>
      <c r="D280" s="7"/>
      <c r="E280" s="7"/>
      <c r="F280" s="7"/>
      <c r="G280" s="7"/>
      <c r="H280" s="7">
        <v>98014</v>
      </c>
      <c r="I280" s="7">
        <v>0</v>
      </c>
      <c r="J280" s="7">
        <v>0</v>
      </c>
      <c r="K280" s="7">
        <v>34995</v>
      </c>
      <c r="L280" s="7">
        <v>0</v>
      </c>
      <c r="M280" s="7"/>
      <c r="N280" s="7">
        <f t="shared" si="39"/>
        <v>34995</v>
      </c>
      <c r="O280" s="7">
        <v>0</v>
      </c>
      <c r="P280" s="19">
        <f t="shared" si="40"/>
        <v>34995</v>
      </c>
      <c r="Q280" s="19">
        <v>0</v>
      </c>
    </row>
    <row r="281" spans="1:17" s="154" customFormat="1" ht="17.25" customHeight="1">
      <c r="A281" s="169" t="s">
        <v>413</v>
      </c>
      <c r="B281" s="233"/>
      <c r="C281" s="140" t="s">
        <v>414</v>
      </c>
      <c r="D281" s="140">
        <f>D282+D283+D284+D286</f>
        <v>181894</v>
      </c>
      <c r="E281" s="140">
        <f>E282+E283+E284+E285+E286+E289</f>
        <v>139815</v>
      </c>
      <c r="F281" s="140">
        <f>F282+F283+F284+F285+F286+F289</f>
        <v>0</v>
      </c>
      <c r="G281" s="140">
        <f>G282+G283+G284+G285+G286+G289</f>
        <v>0</v>
      </c>
      <c r="H281" s="140" t="e">
        <f>H282+H283+H284+H285+H286+H289+#REF!+H288</f>
        <v>#REF!</v>
      </c>
      <c r="I281" s="140" t="e">
        <f>I282+I283+I284+I285+I286+I289+#REF!+I288</f>
        <v>#REF!</v>
      </c>
      <c r="J281" s="140" t="e">
        <f>J282+J283+J284+J285+J286+J289+#REF!+J288</f>
        <v>#REF!</v>
      </c>
      <c r="K281" s="140">
        <f>K282+K283+K284+K285+K286+K289+K290+K288+K287</f>
        <v>921609</v>
      </c>
      <c r="L281" s="140">
        <f>L282+L283+L284+L285+L286+L289+L290+L288+L287</f>
        <v>23360</v>
      </c>
      <c r="M281" s="140">
        <f>M282+M283+M284+M285+M286+M289+M290+M288+M287</f>
        <v>32711</v>
      </c>
      <c r="N281" s="140">
        <f aca="true" t="shared" si="41" ref="N281:N333">K281+L281-M281</f>
        <v>912258</v>
      </c>
      <c r="O281" s="140">
        <f>O282+O283+O284+O285+O286+O289+O288+O287</f>
        <v>0</v>
      </c>
      <c r="P281" s="140">
        <f>P282+P283+P284+P285+P286+P289+P288+P287+P290</f>
        <v>912258</v>
      </c>
      <c r="Q281" s="140">
        <f>Q282+Q283+Q284+Q285+Q286+Q289+Q288+Q287</f>
        <v>0</v>
      </c>
    </row>
    <row r="282" spans="1:17" s="154" customFormat="1" ht="12.75" customHeight="1">
      <c r="A282" s="21"/>
      <c r="B282" s="13" t="s">
        <v>234</v>
      </c>
      <c r="C282" s="229" t="s">
        <v>235</v>
      </c>
      <c r="D282" s="7">
        <v>134523</v>
      </c>
      <c r="E282" s="7">
        <v>97179</v>
      </c>
      <c r="F282" s="7">
        <v>0</v>
      </c>
      <c r="G282" s="7">
        <v>0</v>
      </c>
      <c r="H282" s="7">
        <v>148200</v>
      </c>
      <c r="I282" s="7">
        <v>0</v>
      </c>
      <c r="J282" s="7">
        <v>0</v>
      </c>
      <c r="K282" s="7">
        <v>569204</v>
      </c>
      <c r="L282" s="7">
        <v>0</v>
      </c>
      <c r="M282" s="7">
        <v>22303</v>
      </c>
      <c r="N282" s="7">
        <f t="shared" si="41"/>
        <v>546901</v>
      </c>
      <c r="O282" s="7">
        <v>0</v>
      </c>
      <c r="P282" s="19">
        <f>N282</f>
        <v>546901</v>
      </c>
      <c r="Q282" s="19">
        <v>0</v>
      </c>
    </row>
    <row r="283" spans="1:17" s="154" customFormat="1" ht="13.5" customHeight="1">
      <c r="A283" s="21"/>
      <c r="B283" s="13" t="s">
        <v>238</v>
      </c>
      <c r="C283" s="229" t="s">
        <v>239</v>
      </c>
      <c r="D283" s="7">
        <v>12439</v>
      </c>
      <c r="E283" s="7">
        <v>9136</v>
      </c>
      <c r="F283" s="7">
        <v>0</v>
      </c>
      <c r="G283" s="7">
        <v>0</v>
      </c>
      <c r="H283" s="7">
        <v>8185</v>
      </c>
      <c r="I283" s="7">
        <v>0</v>
      </c>
      <c r="J283" s="7">
        <v>0</v>
      </c>
      <c r="K283" s="7">
        <v>31160</v>
      </c>
      <c r="L283" s="7"/>
      <c r="M283" s="7">
        <v>0</v>
      </c>
      <c r="N283" s="7">
        <f t="shared" si="41"/>
        <v>31160</v>
      </c>
      <c r="O283" s="7">
        <v>0</v>
      </c>
      <c r="P283" s="19">
        <f aca="true" t="shared" si="42" ref="P283:P290">N283</f>
        <v>31160</v>
      </c>
      <c r="Q283" s="19">
        <v>0</v>
      </c>
    </row>
    <row r="284" spans="1:17" s="154" customFormat="1" ht="13.5" customHeight="1">
      <c r="A284" s="21"/>
      <c r="B284" s="20" t="s">
        <v>293</v>
      </c>
      <c r="C284" s="229" t="s">
        <v>307</v>
      </c>
      <c r="D284" s="7">
        <v>28542</v>
      </c>
      <c r="E284" s="7">
        <v>18746</v>
      </c>
      <c r="F284" s="7">
        <v>0</v>
      </c>
      <c r="G284" s="7">
        <v>0</v>
      </c>
      <c r="H284" s="15">
        <v>27400</v>
      </c>
      <c r="I284" s="7">
        <v>0</v>
      </c>
      <c r="J284" s="7">
        <v>0</v>
      </c>
      <c r="K284" s="7">
        <v>110221</v>
      </c>
      <c r="L284" s="7">
        <v>0</v>
      </c>
      <c r="M284" s="7">
        <v>9636</v>
      </c>
      <c r="N284" s="7">
        <f t="shared" si="41"/>
        <v>100585</v>
      </c>
      <c r="O284" s="7">
        <v>0</v>
      </c>
      <c r="P284" s="19">
        <f t="shared" si="42"/>
        <v>100585</v>
      </c>
      <c r="Q284" s="19">
        <v>0</v>
      </c>
    </row>
    <row r="285" spans="1:17" s="154" customFormat="1" ht="14.25" customHeight="1">
      <c r="A285" s="21"/>
      <c r="B285" s="20" t="s">
        <v>242</v>
      </c>
      <c r="C285" s="229" t="s">
        <v>243</v>
      </c>
      <c r="D285" s="7"/>
      <c r="E285" s="7">
        <v>2604</v>
      </c>
      <c r="F285" s="7">
        <v>0</v>
      </c>
      <c r="G285" s="7">
        <v>0</v>
      </c>
      <c r="H285" s="15">
        <v>3760</v>
      </c>
      <c r="I285" s="7">
        <v>0</v>
      </c>
      <c r="J285" s="7">
        <v>0</v>
      </c>
      <c r="K285" s="7">
        <v>14790</v>
      </c>
      <c r="L285" s="7">
        <v>0</v>
      </c>
      <c r="M285" s="7">
        <v>772</v>
      </c>
      <c r="N285" s="7">
        <f t="shared" si="41"/>
        <v>14018</v>
      </c>
      <c r="O285" s="7">
        <v>0</v>
      </c>
      <c r="P285" s="19">
        <f t="shared" si="42"/>
        <v>14018</v>
      </c>
      <c r="Q285" s="19">
        <v>0</v>
      </c>
    </row>
    <row r="286" spans="1:17" s="154" customFormat="1" ht="14.25" customHeight="1">
      <c r="A286" s="21"/>
      <c r="B286" s="13" t="s">
        <v>244</v>
      </c>
      <c r="C286" s="192" t="s">
        <v>271</v>
      </c>
      <c r="D286" s="7">
        <v>6390</v>
      </c>
      <c r="E286" s="7">
        <v>5029</v>
      </c>
      <c r="F286" s="7">
        <v>0</v>
      </c>
      <c r="G286" s="7">
        <v>0</v>
      </c>
      <c r="H286" s="15">
        <v>400</v>
      </c>
      <c r="I286" s="7">
        <v>0</v>
      </c>
      <c r="J286" s="7">
        <v>0</v>
      </c>
      <c r="K286" s="7">
        <v>24182</v>
      </c>
      <c r="L286" s="7">
        <v>23360</v>
      </c>
      <c r="M286" s="7"/>
      <c r="N286" s="7">
        <f t="shared" si="41"/>
        <v>47542</v>
      </c>
      <c r="O286" s="7">
        <v>0</v>
      </c>
      <c r="P286" s="19">
        <f t="shared" si="42"/>
        <v>47542</v>
      </c>
      <c r="Q286" s="19">
        <v>0</v>
      </c>
    </row>
    <row r="287" spans="1:17" s="154" customFormat="1" ht="13.5" customHeight="1">
      <c r="A287" s="21"/>
      <c r="B287" s="13" t="s">
        <v>246</v>
      </c>
      <c r="C287" s="192" t="s">
        <v>247</v>
      </c>
      <c r="D287" s="7"/>
      <c r="E287" s="7"/>
      <c r="F287" s="7"/>
      <c r="G287" s="7"/>
      <c r="H287" s="15"/>
      <c r="I287" s="7"/>
      <c r="J287" s="7"/>
      <c r="K287" s="7">
        <v>6500</v>
      </c>
      <c r="L287" s="7"/>
      <c r="M287" s="7"/>
      <c r="N287" s="7">
        <f t="shared" si="41"/>
        <v>6500</v>
      </c>
      <c r="O287" s="7">
        <v>0</v>
      </c>
      <c r="P287" s="19">
        <f t="shared" si="42"/>
        <v>6500</v>
      </c>
      <c r="Q287" s="19">
        <v>0</v>
      </c>
    </row>
    <row r="288" spans="1:17" s="154" customFormat="1" ht="13.5" customHeight="1">
      <c r="A288" s="21"/>
      <c r="B288" s="13" t="s">
        <v>250</v>
      </c>
      <c r="C288" s="192" t="s">
        <v>251</v>
      </c>
      <c r="D288" s="7"/>
      <c r="E288" s="7"/>
      <c r="F288" s="7"/>
      <c r="G288" s="7"/>
      <c r="H288" s="15">
        <v>1600</v>
      </c>
      <c r="I288" s="7">
        <v>0</v>
      </c>
      <c r="J288" s="7">
        <v>0</v>
      </c>
      <c r="K288" s="7">
        <v>8200</v>
      </c>
      <c r="L288" s="7"/>
      <c r="M288" s="7"/>
      <c r="N288" s="7">
        <f t="shared" si="41"/>
        <v>8200</v>
      </c>
      <c r="O288" s="7">
        <v>0</v>
      </c>
      <c r="P288" s="19">
        <f t="shared" si="42"/>
        <v>8200</v>
      </c>
      <c r="Q288" s="19">
        <v>0</v>
      </c>
    </row>
    <row r="289" spans="1:17" s="154" customFormat="1" ht="16.5" customHeight="1">
      <c r="A289" s="21"/>
      <c r="B289" s="13" t="s">
        <v>256</v>
      </c>
      <c r="C289" s="192" t="s">
        <v>257</v>
      </c>
      <c r="D289" s="7"/>
      <c r="E289" s="7">
        <v>7121</v>
      </c>
      <c r="F289" s="7">
        <v>0</v>
      </c>
      <c r="G289" s="7">
        <v>0</v>
      </c>
      <c r="H289" s="15">
        <v>7875</v>
      </c>
      <c r="I289" s="7">
        <v>0</v>
      </c>
      <c r="J289" s="7">
        <v>0</v>
      </c>
      <c r="K289" s="7">
        <v>19556</v>
      </c>
      <c r="L289" s="7"/>
      <c r="M289" s="7"/>
      <c r="N289" s="7">
        <f t="shared" si="41"/>
        <v>19556</v>
      </c>
      <c r="O289" s="7">
        <v>0</v>
      </c>
      <c r="P289" s="19">
        <f t="shared" si="42"/>
        <v>19556</v>
      </c>
      <c r="Q289" s="19">
        <v>0</v>
      </c>
    </row>
    <row r="290" spans="1:17" s="154" customFormat="1" ht="21" customHeight="1">
      <c r="A290" s="21"/>
      <c r="B290" s="13" t="s">
        <v>392</v>
      </c>
      <c r="C290" s="107" t="s">
        <v>184</v>
      </c>
      <c r="D290" s="7"/>
      <c r="E290" s="7"/>
      <c r="F290" s="7"/>
      <c r="G290" s="7"/>
      <c r="H290" s="15"/>
      <c r="I290" s="7"/>
      <c r="J290" s="7"/>
      <c r="K290" s="7">
        <v>137796</v>
      </c>
      <c r="L290" s="7"/>
      <c r="M290" s="7">
        <v>0</v>
      </c>
      <c r="N290" s="7">
        <f t="shared" si="41"/>
        <v>137796</v>
      </c>
      <c r="O290" s="7"/>
      <c r="P290" s="19">
        <f t="shared" si="42"/>
        <v>137796</v>
      </c>
      <c r="Q290" s="19"/>
    </row>
    <row r="291" spans="1:17" s="154" customFormat="1" ht="19.5" customHeight="1">
      <c r="A291" s="169" t="s">
        <v>417</v>
      </c>
      <c r="B291" s="178"/>
      <c r="C291" s="168" t="s">
        <v>420</v>
      </c>
      <c r="D291" s="140"/>
      <c r="E291" s="140" t="e">
        <f>#REF!+E293+#REF!+#REF!+#REF!</f>
        <v>#REF!</v>
      </c>
      <c r="F291" s="140" t="e">
        <f>#REF!+F293+#REF!+#REF!+#REF!</f>
        <v>#REF!</v>
      </c>
      <c r="G291" s="140" t="e">
        <f>#REF!+G293+#REF!+#REF!+#REF!</f>
        <v>#REF!</v>
      </c>
      <c r="H291" s="140" t="e">
        <f>H293+#REF!</f>
        <v>#REF!</v>
      </c>
      <c r="I291" s="140" t="e">
        <f>I293+#REF!</f>
        <v>#REF!</v>
      </c>
      <c r="J291" s="140" t="e">
        <f>J293+#REF!</f>
        <v>#REF!</v>
      </c>
      <c r="K291" s="140">
        <f>K292+K293</f>
        <v>600</v>
      </c>
      <c r="L291" s="140">
        <f>L292+L293</f>
        <v>0</v>
      </c>
      <c r="M291" s="140">
        <f>M292+M293</f>
        <v>0</v>
      </c>
      <c r="N291" s="344">
        <f t="shared" si="41"/>
        <v>600</v>
      </c>
      <c r="O291" s="140">
        <f>O292+O293</f>
        <v>0</v>
      </c>
      <c r="P291" s="140">
        <f>P292+P293</f>
        <v>600</v>
      </c>
      <c r="Q291" s="140">
        <f>Q292+Q293</f>
        <v>0</v>
      </c>
    </row>
    <row r="292" spans="1:17" s="154" customFormat="1" ht="15.75" customHeight="1">
      <c r="A292" s="21"/>
      <c r="B292" s="13" t="s">
        <v>97</v>
      </c>
      <c r="C292" s="229" t="s">
        <v>109</v>
      </c>
      <c r="D292" s="7"/>
      <c r="E292" s="7"/>
      <c r="F292" s="7"/>
      <c r="G292" s="7"/>
      <c r="H292" s="6"/>
      <c r="I292" s="6"/>
      <c r="J292" s="6"/>
      <c r="K292" s="15">
        <v>600</v>
      </c>
      <c r="L292" s="15">
        <v>0</v>
      </c>
      <c r="M292" s="459">
        <v>0</v>
      </c>
      <c r="N292" s="7">
        <f t="shared" si="41"/>
        <v>600</v>
      </c>
      <c r="O292" s="7">
        <v>0</v>
      </c>
      <c r="P292" s="19">
        <f>N292</f>
        <v>600</v>
      </c>
      <c r="Q292" s="19">
        <v>0</v>
      </c>
    </row>
    <row r="293" spans="1:17" s="154" customFormat="1" ht="15.75" customHeight="1">
      <c r="A293" s="21"/>
      <c r="B293" s="13" t="s">
        <v>244</v>
      </c>
      <c r="C293" s="229" t="s">
        <v>271</v>
      </c>
      <c r="D293" s="7"/>
      <c r="E293" s="7">
        <v>43</v>
      </c>
      <c r="F293" s="7">
        <v>0</v>
      </c>
      <c r="G293" s="7">
        <v>7</v>
      </c>
      <c r="H293" s="7">
        <v>100</v>
      </c>
      <c r="I293" s="7">
        <v>0</v>
      </c>
      <c r="J293" s="7">
        <v>0</v>
      </c>
      <c r="K293" s="7">
        <v>0</v>
      </c>
      <c r="L293" s="7"/>
      <c r="M293" s="7">
        <v>0</v>
      </c>
      <c r="N293" s="7">
        <f t="shared" si="41"/>
        <v>0</v>
      </c>
      <c r="O293" s="7">
        <v>0</v>
      </c>
      <c r="P293" s="19">
        <f>N293</f>
        <v>0</v>
      </c>
      <c r="Q293" s="19">
        <v>0</v>
      </c>
    </row>
    <row r="294" spans="1:17" s="154" customFormat="1" ht="27" customHeight="1">
      <c r="A294" s="169" t="s">
        <v>421</v>
      </c>
      <c r="B294" s="178"/>
      <c r="C294" s="168" t="s">
        <v>422</v>
      </c>
      <c r="D294" s="140"/>
      <c r="E294" s="140">
        <f>E295</f>
        <v>22260</v>
      </c>
      <c r="F294" s="140">
        <f>F295</f>
        <v>0</v>
      </c>
      <c r="G294" s="140">
        <f>G295</f>
        <v>0</v>
      </c>
      <c r="H294" s="140">
        <f>H295+H296+H297+H298+H299</f>
        <v>39096</v>
      </c>
      <c r="I294" s="140">
        <f>I295+I296+I297+I298+I299</f>
        <v>0</v>
      </c>
      <c r="J294" s="140">
        <f>J295+J296+J297+J298+J299</f>
        <v>0</v>
      </c>
      <c r="K294" s="140">
        <f>K295+K296+K297+K298+K299+K300+K301</f>
        <v>77515</v>
      </c>
      <c r="L294" s="140">
        <f>L295+L296+L297+L298+L299+L300+L301</f>
        <v>0</v>
      </c>
      <c r="M294" s="140">
        <f>M295+M296+M297+M298+M299+M300+M301</f>
        <v>22</v>
      </c>
      <c r="N294" s="140">
        <f t="shared" si="41"/>
        <v>77493</v>
      </c>
      <c r="O294" s="140">
        <f>O295+O296+O297+O298+O299+O301</f>
        <v>0</v>
      </c>
      <c r="P294" s="140">
        <f>P295+P296+P297+P298+P299+P300+P301</f>
        <v>65493</v>
      </c>
      <c r="Q294" s="140">
        <f>Q295+Q296+Q297+Q298+Q299+Q301</f>
        <v>12000</v>
      </c>
    </row>
    <row r="295" spans="1:17" s="154" customFormat="1" ht="18" customHeight="1">
      <c r="A295" s="21"/>
      <c r="B295" s="13" t="s">
        <v>415</v>
      </c>
      <c r="C295" s="229" t="s">
        <v>645</v>
      </c>
      <c r="D295" s="7"/>
      <c r="E295" s="7">
        <v>22260</v>
      </c>
      <c r="F295" s="7">
        <v>0</v>
      </c>
      <c r="G295" s="7">
        <v>0</v>
      </c>
      <c r="H295" s="15">
        <v>12000</v>
      </c>
      <c r="I295" s="15">
        <v>0</v>
      </c>
      <c r="J295" s="15">
        <v>0</v>
      </c>
      <c r="K295" s="7">
        <v>12000</v>
      </c>
      <c r="L295" s="7"/>
      <c r="M295" s="15"/>
      <c r="N295" s="7">
        <f t="shared" si="41"/>
        <v>12000</v>
      </c>
      <c r="O295" s="7">
        <v>0</v>
      </c>
      <c r="P295" s="19">
        <v>0</v>
      </c>
      <c r="Q295" s="19">
        <f>N295</f>
        <v>12000</v>
      </c>
    </row>
    <row r="296" spans="1:17" s="154" customFormat="1" ht="15.75" customHeight="1">
      <c r="A296" s="21"/>
      <c r="B296" s="13" t="s">
        <v>118</v>
      </c>
      <c r="C296" s="229" t="s">
        <v>646</v>
      </c>
      <c r="D296" s="7"/>
      <c r="E296" s="7"/>
      <c r="F296" s="7"/>
      <c r="G296" s="7"/>
      <c r="H296" s="15">
        <v>13500</v>
      </c>
      <c r="I296" s="15">
        <v>0</v>
      </c>
      <c r="J296" s="15">
        <v>0</v>
      </c>
      <c r="K296" s="7">
        <v>1300</v>
      </c>
      <c r="L296" s="7">
        <v>0</v>
      </c>
      <c r="M296" s="15"/>
      <c r="N296" s="7">
        <f t="shared" si="41"/>
        <v>1300</v>
      </c>
      <c r="O296" s="7">
        <v>0</v>
      </c>
      <c r="P296" s="19">
        <f aca="true" t="shared" si="43" ref="P296:P301">N296</f>
        <v>1300</v>
      </c>
      <c r="Q296" s="19">
        <v>0</v>
      </c>
    </row>
    <row r="297" spans="1:17" s="154" customFormat="1" ht="15.75" customHeight="1">
      <c r="A297" s="21"/>
      <c r="B297" s="13" t="s">
        <v>234</v>
      </c>
      <c r="C297" s="229" t="s">
        <v>235</v>
      </c>
      <c r="D297" s="7"/>
      <c r="E297" s="7"/>
      <c r="F297" s="7"/>
      <c r="G297" s="7"/>
      <c r="H297" s="15">
        <v>11300</v>
      </c>
      <c r="I297" s="15">
        <v>0</v>
      </c>
      <c r="J297" s="15">
        <v>0</v>
      </c>
      <c r="K297" s="7">
        <v>18599</v>
      </c>
      <c r="L297" s="7"/>
      <c r="M297" s="15">
        <v>0</v>
      </c>
      <c r="N297" s="7">
        <f t="shared" si="41"/>
        <v>18599</v>
      </c>
      <c r="O297" s="7">
        <v>0</v>
      </c>
      <c r="P297" s="19">
        <f t="shared" si="43"/>
        <v>18599</v>
      </c>
      <c r="Q297" s="19">
        <v>0</v>
      </c>
    </row>
    <row r="298" spans="1:17" s="154" customFormat="1" ht="15.75" customHeight="1">
      <c r="A298" s="21"/>
      <c r="B298" s="13" t="s">
        <v>267</v>
      </c>
      <c r="C298" s="229" t="s">
        <v>307</v>
      </c>
      <c r="D298" s="7"/>
      <c r="E298" s="7"/>
      <c r="F298" s="7"/>
      <c r="G298" s="7"/>
      <c r="H298" s="15">
        <v>2020</v>
      </c>
      <c r="I298" s="15">
        <v>0</v>
      </c>
      <c r="J298" s="15">
        <v>0</v>
      </c>
      <c r="K298" s="7">
        <v>3274</v>
      </c>
      <c r="L298" s="7"/>
      <c r="M298" s="15">
        <v>22</v>
      </c>
      <c r="N298" s="7">
        <f t="shared" si="41"/>
        <v>3252</v>
      </c>
      <c r="O298" s="7">
        <v>0</v>
      </c>
      <c r="P298" s="19">
        <f t="shared" si="43"/>
        <v>3252</v>
      </c>
      <c r="Q298" s="19">
        <v>0</v>
      </c>
    </row>
    <row r="299" spans="1:17" s="154" customFormat="1" ht="15.75" customHeight="1">
      <c r="A299" s="21"/>
      <c r="B299" s="13" t="s">
        <v>242</v>
      </c>
      <c r="C299" s="229" t="s">
        <v>243</v>
      </c>
      <c r="D299" s="7"/>
      <c r="E299" s="7"/>
      <c r="F299" s="7"/>
      <c r="G299" s="7"/>
      <c r="H299" s="15">
        <v>276</v>
      </c>
      <c r="I299" s="15">
        <v>0</v>
      </c>
      <c r="J299" s="15">
        <v>0</v>
      </c>
      <c r="K299" s="7">
        <v>456</v>
      </c>
      <c r="L299" s="7"/>
      <c r="M299" s="15">
        <v>0</v>
      </c>
      <c r="N299" s="7">
        <f t="shared" si="41"/>
        <v>456</v>
      </c>
      <c r="O299" s="7">
        <v>0</v>
      </c>
      <c r="P299" s="19">
        <f t="shared" si="43"/>
        <v>456</v>
      </c>
      <c r="Q299" s="19">
        <v>0</v>
      </c>
    </row>
    <row r="300" spans="1:17" s="154" customFormat="1" ht="15.75" customHeight="1">
      <c r="A300" s="21"/>
      <c r="B300" s="13" t="s">
        <v>97</v>
      </c>
      <c r="C300" s="229" t="s">
        <v>627</v>
      </c>
      <c r="D300" s="7"/>
      <c r="E300" s="7"/>
      <c r="F300" s="7"/>
      <c r="G300" s="7"/>
      <c r="H300" s="15"/>
      <c r="I300" s="15"/>
      <c r="J300" s="15"/>
      <c r="K300" s="7">
        <v>0</v>
      </c>
      <c r="L300" s="7"/>
      <c r="M300" s="15">
        <v>0</v>
      </c>
      <c r="N300" s="7">
        <f t="shared" si="41"/>
        <v>0</v>
      </c>
      <c r="O300" s="7">
        <v>0</v>
      </c>
      <c r="P300" s="19">
        <f t="shared" si="43"/>
        <v>0</v>
      </c>
      <c r="Q300" s="19">
        <v>0</v>
      </c>
    </row>
    <row r="301" spans="1:17" s="154" customFormat="1" ht="15.75" customHeight="1">
      <c r="A301" s="21"/>
      <c r="B301" s="13" t="s">
        <v>250</v>
      </c>
      <c r="C301" s="192" t="s">
        <v>251</v>
      </c>
      <c r="D301" s="7"/>
      <c r="E301" s="7"/>
      <c r="F301" s="7"/>
      <c r="G301" s="7"/>
      <c r="H301" s="15"/>
      <c r="I301" s="15"/>
      <c r="J301" s="15"/>
      <c r="K301" s="7">
        <v>41886</v>
      </c>
      <c r="L301" s="7">
        <v>0</v>
      </c>
      <c r="M301" s="15">
        <v>0</v>
      </c>
      <c r="N301" s="7">
        <f t="shared" si="41"/>
        <v>41886</v>
      </c>
      <c r="O301" s="7">
        <v>0</v>
      </c>
      <c r="P301" s="19">
        <f t="shared" si="43"/>
        <v>41886</v>
      </c>
      <c r="Q301" s="19">
        <v>0</v>
      </c>
    </row>
    <row r="302" spans="1:17" s="154" customFormat="1" ht="20.25" customHeight="1">
      <c r="A302" s="169" t="s">
        <v>423</v>
      </c>
      <c r="B302" s="233"/>
      <c r="C302" s="140" t="s">
        <v>309</v>
      </c>
      <c r="D302" s="232"/>
      <c r="E302" s="232"/>
      <c r="F302" s="232"/>
      <c r="G302" s="232"/>
      <c r="H302" s="186"/>
      <c r="I302" s="186"/>
      <c r="J302" s="186"/>
      <c r="K302" s="140">
        <f>K303</f>
        <v>45813</v>
      </c>
      <c r="L302" s="140">
        <f>L303</f>
        <v>0</v>
      </c>
      <c r="M302" s="140">
        <f>M303</f>
        <v>0</v>
      </c>
      <c r="N302" s="140">
        <f t="shared" si="41"/>
        <v>45813</v>
      </c>
      <c r="O302" s="140">
        <f>O303</f>
        <v>0</v>
      </c>
      <c r="P302" s="140">
        <f>P303</f>
        <v>45813</v>
      </c>
      <c r="Q302" s="140">
        <f>Q303</f>
        <v>0</v>
      </c>
    </row>
    <row r="303" spans="1:17" s="154" customFormat="1" ht="16.5" customHeight="1">
      <c r="A303" s="21"/>
      <c r="B303" s="26" t="s">
        <v>256</v>
      </c>
      <c r="C303" s="15" t="s">
        <v>257</v>
      </c>
      <c r="D303" s="7"/>
      <c r="E303" s="7"/>
      <c r="F303" s="7"/>
      <c r="G303" s="7"/>
      <c r="H303" s="15"/>
      <c r="I303" s="15"/>
      <c r="J303" s="15"/>
      <c r="K303" s="7">
        <v>45813</v>
      </c>
      <c r="L303" s="7">
        <v>0</v>
      </c>
      <c r="M303" s="15"/>
      <c r="N303" s="7">
        <f t="shared" si="41"/>
        <v>45813</v>
      </c>
      <c r="O303" s="7">
        <v>0</v>
      </c>
      <c r="P303" s="19">
        <f>N303</f>
        <v>45813</v>
      </c>
      <c r="Q303" s="19">
        <v>0</v>
      </c>
    </row>
    <row r="304" spans="1:17" s="153" customFormat="1" ht="21" customHeight="1">
      <c r="A304" s="151" t="s">
        <v>486</v>
      </c>
      <c r="B304" s="148"/>
      <c r="C304" s="145" t="s">
        <v>598</v>
      </c>
      <c r="D304" s="145"/>
      <c r="E304" s="145"/>
      <c r="F304" s="145"/>
      <c r="G304" s="145"/>
      <c r="H304" s="145"/>
      <c r="I304" s="145"/>
      <c r="J304" s="145"/>
      <c r="K304" s="145">
        <f>K305</f>
        <v>265230</v>
      </c>
      <c r="L304" s="145">
        <f>L305</f>
        <v>1733</v>
      </c>
      <c r="M304" s="145">
        <f>M305</f>
        <v>2674</v>
      </c>
      <c r="N304" s="145">
        <f t="shared" si="41"/>
        <v>264289</v>
      </c>
      <c r="O304" s="145">
        <f>O305</f>
        <v>0</v>
      </c>
      <c r="P304" s="145">
        <f>P305</f>
        <v>264289</v>
      </c>
      <c r="Q304" s="145">
        <f>Q305</f>
        <v>0</v>
      </c>
    </row>
    <row r="305" spans="1:17" s="154" customFormat="1" ht="15.75" customHeight="1">
      <c r="A305" s="169" t="s">
        <v>487</v>
      </c>
      <c r="B305" s="233"/>
      <c r="C305" s="232" t="s">
        <v>488</v>
      </c>
      <c r="D305" s="232"/>
      <c r="E305" s="232"/>
      <c r="F305" s="232"/>
      <c r="G305" s="232"/>
      <c r="H305" s="186"/>
      <c r="I305" s="186"/>
      <c r="J305" s="186"/>
      <c r="K305" s="140">
        <f>SUM(K306:K319)</f>
        <v>265230</v>
      </c>
      <c r="L305" s="140">
        <f>SUM(L306:L319)</f>
        <v>1733</v>
      </c>
      <c r="M305" s="140">
        <f>SUM(M306:M319)</f>
        <v>2674</v>
      </c>
      <c r="N305" s="140">
        <f t="shared" si="41"/>
        <v>264289</v>
      </c>
      <c r="O305" s="232">
        <v>0</v>
      </c>
      <c r="P305" s="140">
        <f>SUM(P306:P319)</f>
        <v>264289</v>
      </c>
      <c r="Q305" s="232">
        <f>SUM(Q306:Q319)</f>
        <v>0</v>
      </c>
    </row>
    <row r="306" spans="1:17" s="154" customFormat="1" ht="15.75" customHeight="1">
      <c r="A306" s="21"/>
      <c r="B306" s="13" t="s">
        <v>489</v>
      </c>
      <c r="C306" s="192" t="s">
        <v>490</v>
      </c>
      <c r="D306" s="7"/>
      <c r="E306" s="7"/>
      <c r="F306" s="7"/>
      <c r="G306" s="7"/>
      <c r="H306" s="15"/>
      <c r="I306" s="15"/>
      <c r="J306" s="15"/>
      <c r="K306" s="7">
        <v>163109</v>
      </c>
      <c r="L306" s="7">
        <v>0</v>
      </c>
      <c r="M306" s="15">
        <v>0</v>
      </c>
      <c r="N306" s="7">
        <f t="shared" si="41"/>
        <v>163109</v>
      </c>
      <c r="O306" s="7">
        <v>0</v>
      </c>
      <c r="P306" s="19">
        <f>N306</f>
        <v>163109</v>
      </c>
      <c r="Q306" s="19">
        <v>0</v>
      </c>
    </row>
    <row r="307" spans="1:17" s="154" customFormat="1" ht="15.75" customHeight="1">
      <c r="A307" s="21"/>
      <c r="B307" s="13" t="s">
        <v>491</v>
      </c>
      <c r="C307" s="192" t="s">
        <v>490</v>
      </c>
      <c r="D307" s="7"/>
      <c r="E307" s="7"/>
      <c r="F307" s="7"/>
      <c r="G307" s="7"/>
      <c r="H307" s="15"/>
      <c r="I307" s="15"/>
      <c r="J307" s="15"/>
      <c r="K307" s="7">
        <v>77691</v>
      </c>
      <c r="L307" s="7">
        <v>0</v>
      </c>
      <c r="M307" s="15">
        <v>66</v>
      </c>
      <c r="N307" s="7">
        <f t="shared" si="41"/>
        <v>77625</v>
      </c>
      <c r="O307" s="7">
        <v>0</v>
      </c>
      <c r="P307" s="19">
        <f aca="true" t="shared" si="44" ref="P307:P319">N307</f>
        <v>77625</v>
      </c>
      <c r="Q307" s="19">
        <v>0</v>
      </c>
    </row>
    <row r="308" spans="1:17" s="154" customFormat="1" ht="15.75" customHeight="1">
      <c r="A308" s="21"/>
      <c r="B308" s="13" t="s">
        <v>52</v>
      </c>
      <c r="C308" s="229" t="s">
        <v>235</v>
      </c>
      <c r="D308" s="7"/>
      <c r="E308" s="7"/>
      <c r="F308" s="7"/>
      <c r="G308" s="7"/>
      <c r="H308" s="15"/>
      <c r="I308" s="15"/>
      <c r="J308" s="15"/>
      <c r="K308" s="7">
        <v>2302</v>
      </c>
      <c r="L308" s="7">
        <v>0</v>
      </c>
      <c r="M308" s="15">
        <v>767</v>
      </c>
      <c r="N308" s="7">
        <f t="shared" si="41"/>
        <v>1535</v>
      </c>
      <c r="O308" s="7"/>
      <c r="P308" s="19">
        <f t="shared" si="44"/>
        <v>1535</v>
      </c>
      <c r="Q308" s="19"/>
    </row>
    <row r="309" spans="1:17" s="154" customFormat="1" ht="15.75" customHeight="1">
      <c r="A309" s="21"/>
      <c r="B309" s="13" t="s">
        <v>53</v>
      </c>
      <c r="C309" s="229" t="s">
        <v>235</v>
      </c>
      <c r="D309" s="7"/>
      <c r="E309" s="7"/>
      <c r="F309" s="7"/>
      <c r="G309" s="7"/>
      <c r="H309" s="15"/>
      <c r="I309" s="15"/>
      <c r="J309" s="15"/>
      <c r="K309" s="7">
        <v>998</v>
      </c>
      <c r="L309" s="7">
        <v>0</v>
      </c>
      <c r="M309" s="15">
        <v>333</v>
      </c>
      <c r="N309" s="7">
        <f t="shared" si="41"/>
        <v>665</v>
      </c>
      <c r="O309" s="7"/>
      <c r="P309" s="19">
        <f t="shared" si="44"/>
        <v>665</v>
      </c>
      <c r="Q309" s="19"/>
    </row>
    <row r="310" spans="1:17" s="154" customFormat="1" ht="15.75" customHeight="1">
      <c r="A310" s="21"/>
      <c r="B310" s="13" t="s">
        <v>54</v>
      </c>
      <c r="C310" s="229" t="s">
        <v>307</v>
      </c>
      <c r="D310" s="7"/>
      <c r="E310" s="7"/>
      <c r="F310" s="7"/>
      <c r="G310" s="7"/>
      <c r="H310" s="15"/>
      <c r="I310" s="15"/>
      <c r="J310" s="15"/>
      <c r="K310" s="7">
        <v>982</v>
      </c>
      <c r="L310" s="7">
        <v>0</v>
      </c>
      <c r="M310" s="15">
        <v>138</v>
      </c>
      <c r="N310" s="7">
        <f t="shared" si="41"/>
        <v>844</v>
      </c>
      <c r="O310" s="7"/>
      <c r="P310" s="19">
        <f t="shared" si="44"/>
        <v>844</v>
      </c>
      <c r="Q310" s="19"/>
    </row>
    <row r="311" spans="1:17" s="154" customFormat="1" ht="15.75" customHeight="1">
      <c r="A311" s="21"/>
      <c r="B311" s="13" t="s">
        <v>55</v>
      </c>
      <c r="C311" s="229" t="s">
        <v>307</v>
      </c>
      <c r="D311" s="7"/>
      <c r="E311" s="7"/>
      <c r="F311" s="7"/>
      <c r="G311" s="7"/>
      <c r="H311" s="15"/>
      <c r="I311" s="15"/>
      <c r="J311" s="15"/>
      <c r="K311" s="7">
        <v>426</v>
      </c>
      <c r="L311" s="7">
        <v>0</v>
      </c>
      <c r="M311" s="15">
        <v>60</v>
      </c>
      <c r="N311" s="7">
        <f t="shared" si="41"/>
        <v>366</v>
      </c>
      <c r="O311" s="7"/>
      <c r="P311" s="19">
        <f t="shared" si="44"/>
        <v>366</v>
      </c>
      <c r="Q311" s="19"/>
    </row>
    <row r="312" spans="1:17" s="154" customFormat="1" ht="15.75" customHeight="1">
      <c r="A312" s="21"/>
      <c r="B312" s="13" t="s">
        <v>56</v>
      </c>
      <c r="C312" s="229" t="s">
        <v>243</v>
      </c>
      <c r="D312" s="7"/>
      <c r="E312" s="7"/>
      <c r="F312" s="7"/>
      <c r="G312" s="7"/>
      <c r="H312" s="15"/>
      <c r="I312" s="15"/>
      <c r="J312" s="15"/>
      <c r="K312" s="7">
        <v>133</v>
      </c>
      <c r="L312" s="7">
        <v>0</v>
      </c>
      <c r="M312" s="15">
        <v>19</v>
      </c>
      <c r="N312" s="7">
        <f t="shared" si="41"/>
        <v>114</v>
      </c>
      <c r="O312" s="7"/>
      <c r="P312" s="19">
        <f t="shared" si="44"/>
        <v>114</v>
      </c>
      <c r="Q312" s="19"/>
    </row>
    <row r="313" spans="1:17" s="154" customFormat="1" ht="15.75" customHeight="1">
      <c r="A313" s="21"/>
      <c r="B313" s="13" t="s">
        <v>57</v>
      </c>
      <c r="C313" s="229" t="s">
        <v>243</v>
      </c>
      <c r="D313" s="7"/>
      <c r="E313" s="7"/>
      <c r="F313" s="7"/>
      <c r="G313" s="7"/>
      <c r="H313" s="15"/>
      <c r="I313" s="15"/>
      <c r="J313" s="15"/>
      <c r="K313" s="7">
        <v>58</v>
      </c>
      <c r="L313" s="7">
        <v>0</v>
      </c>
      <c r="M313" s="15">
        <v>8</v>
      </c>
      <c r="N313" s="7">
        <f t="shared" si="41"/>
        <v>50</v>
      </c>
      <c r="O313" s="7"/>
      <c r="P313" s="19">
        <f t="shared" si="44"/>
        <v>50</v>
      </c>
      <c r="Q313" s="19"/>
    </row>
    <row r="314" spans="1:17" s="154" customFormat="1" ht="15.75" customHeight="1">
      <c r="A314" s="21"/>
      <c r="B314" s="13" t="s">
        <v>492</v>
      </c>
      <c r="C314" s="192" t="s">
        <v>109</v>
      </c>
      <c r="D314" s="7"/>
      <c r="E314" s="7"/>
      <c r="F314" s="7"/>
      <c r="G314" s="7"/>
      <c r="H314" s="15"/>
      <c r="I314" s="15"/>
      <c r="J314" s="15"/>
      <c r="K314" s="7">
        <v>8224</v>
      </c>
      <c r="L314" s="7">
        <v>0</v>
      </c>
      <c r="M314" s="15"/>
      <c r="N314" s="7">
        <f t="shared" si="41"/>
        <v>8224</v>
      </c>
      <c r="O314" s="7">
        <v>0</v>
      </c>
      <c r="P314" s="19">
        <f t="shared" si="44"/>
        <v>8224</v>
      </c>
      <c r="Q314" s="19">
        <v>0</v>
      </c>
    </row>
    <row r="315" spans="1:17" s="154" customFormat="1" ht="15.75" customHeight="1">
      <c r="A315" s="21"/>
      <c r="B315" s="13" t="s">
        <v>493</v>
      </c>
      <c r="C315" s="192" t="s">
        <v>109</v>
      </c>
      <c r="D315" s="7"/>
      <c r="E315" s="7"/>
      <c r="F315" s="7"/>
      <c r="G315" s="7"/>
      <c r="H315" s="15"/>
      <c r="I315" s="15"/>
      <c r="J315" s="15"/>
      <c r="K315" s="7">
        <v>3196</v>
      </c>
      <c r="L315" s="7">
        <v>0</v>
      </c>
      <c r="M315" s="15"/>
      <c r="N315" s="7">
        <f t="shared" si="41"/>
        <v>3196</v>
      </c>
      <c r="O315" s="7">
        <v>0</v>
      </c>
      <c r="P315" s="19">
        <f t="shared" si="44"/>
        <v>3196</v>
      </c>
      <c r="Q315" s="19">
        <v>0</v>
      </c>
    </row>
    <row r="316" spans="1:17" s="154" customFormat="1" ht="15.75" customHeight="1">
      <c r="A316" s="21"/>
      <c r="B316" s="13" t="s">
        <v>494</v>
      </c>
      <c r="C316" s="192" t="s">
        <v>245</v>
      </c>
      <c r="D316" s="7"/>
      <c r="E316" s="7"/>
      <c r="F316" s="7"/>
      <c r="G316" s="7"/>
      <c r="H316" s="15"/>
      <c r="I316" s="15"/>
      <c r="J316" s="15"/>
      <c r="K316" s="7">
        <v>1800</v>
      </c>
      <c r="L316" s="7">
        <v>314</v>
      </c>
      <c r="M316" s="15"/>
      <c r="N316" s="7">
        <f t="shared" si="41"/>
        <v>2114</v>
      </c>
      <c r="O316" s="7">
        <v>0</v>
      </c>
      <c r="P316" s="19">
        <f t="shared" si="44"/>
        <v>2114</v>
      </c>
      <c r="Q316" s="19">
        <v>0</v>
      </c>
    </row>
    <row r="317" spans="1:17" s="154" customFormat="1" ht="15.75" customHeight="1">
      <c r="A317" s="21"/>
      <c r="B317" s="13" t="s">
        <v>497</v>
      </c>
      <c r="C317" s="192" t="s">
        <v>245</v>
      </c>
      <c r="D317" s="7"/>
      <c r="E317" s="7"/>
      <c r="F317" s="7"/>
      <c r="G317" s="7"/>
      <c r="H317" s="15"/>
      <c r="I317" s="15"/>
      <c r="J317" s="15"/>
      <c r="K317" s="7">
        <v>711</v>
      </c>
      <c r="L317" s="7">
        <v>1419</v>
      </c>
      <c r="M317" s="15"/>
      <c r="N317" s="7">
        <f t="shared" si="41"/>
        <v>2130</v>
      </c>
      <c r="O317" s="7">
        <v>0</v>
      </c>
      <c r="P317" s="19">
        <f t="shared" si="44"/>
        <v>2130</v>
      </c>
      <c r="Q317" s="19">
        <v>0</v>
      </c>
    </row>
    <row r="318" spans="1:17" s="154" customFormat="1" ht="15" customHeight="1">
      <c r="A318" s="21"/>
      <c r="B318" s="13" t="s">
        <v>495</v>
      </c>
      <c r="C318" s="192" t="s">
        <v>352</v>
      </c>
      <c r="D318" s="7"/>
      <c r="E318" s="7"/>
      <c r="F318" s="7"/>
      <c r="G318" s="7"/>
      <c r="H318" s="15"/>
      <c r="I318" s="15"/>
      <c r="J318" s="15"/>
      <c r="K318" s="7">
        <v>1116</v>
      </c>
      <c r="L318" s="7">
        <v>0</v>
      </c>
      <c r="M318" s="15">
        <v>0</v>
      </c>
      <c r="N318" s="7">
        <f t="shared" si="41"/>
        <v>1116</v>
      </c>
      <c r="O318" s="7">
        <v>0</v>
      </c>
      <c r="P318" s="19">
        <f t="shared" si="44"/>
        <v>1116</v>
      </c>
      <c r="Q318" s="19">
        <v>0</v>
      </c>
    </row>
    <row r="319" spans="1:17" s="154" customFormat="1" ht="16.5" customHeight="1">
      <c r="A319" s="21"/>
      <c r="B319" s="13" t="s">
        <v>496</v>
      </c>
      <c r="C319" s="192" t="s">
        <v>352</v>
      </c>
      <c r="D319" s="7"/>
      <c r="E319" s="7"/>
      <c r="F319" s="7"/>
      <c r="G319" s="7"/>
      <c r="H319" s="15"/>
      <c r="I319" s="15"/>
      <c r="J319" s="15"/>
      <c r="K319" s="7">
        <v>4484</v>
      </c>
      <c r="L319" s="7">
        <v>0</v>
      </c>
      <c r="M319" s="15">
        <v>1283</v>
      </c>
      <c r="N319" s="7">
        <f t="shared" si="41"/>
        <v>3201</v>
      </c>
      <c r="O319" s="7">
        <v>0</v>
      </c>
      <c r="P319" s="19">
        <f t="shared" si="44"/>
        <v>3201</v>
      </c>
      <c r="Q319" s="19">
        <v>0</v>
      </c>
    </row>
    <row r="320" spans="1:17" s="154" customFormat="1" ht="16.5" customHeight="1">
      <c r="A320" s="144" t="s">
        <v>424</v>
      </c>
      <c r="B320" s="148"/>
      <c r="C320" s="145" t="s">
        <v>425</v>
      </c>
      <c r="D320" s="145" t="e">
        <f>D321+#REF!+#REF!+#REF!+#REF!+D334</f>
        <v>#REF!</v>
      </c>
      <c r="E320" s="145" t="e">
        <f>E321+#REF!+#REF!+#REF!+#REF!+E334</f>
        <v>#REF!</v>
      </c>
      <c r="F320" s="145" t="e">
        <f>F321+#REF!+#REF!+F334</f>
        <v>#REF!</v>
      </c>
      <c r="G320" s="145" t="e">
        <f>G321+#REF!+#REF!+G334</f>
        <v>#REF!</v>
      </c>
      <c r="H320" s="145" t="e">
        <f>H321+#REF!+H334</f>
        <v>#REF!</v>
      </c>
      <c r="I320" s="145" t="e">
        <f>I321+#REF!+I334</f>
        <v>#REF!</v>
      </c>
      <c r="J320" s="145" t="e">
        <f>J321+#REF!+J334</f>
        <v>#REF!</v>
      </c>
      <c r="K320" s="145">
        <f>K321+K326+K328+K334</f>
        <v>2789188</v>
      </c>
      <c r="L320" s="145">
        <f>L321+L326+L328+L334</f>
        <v>87357</v>
      </c>
      <c r="M320" s="145">
        <f>M321+M326+M328+M334</f>
        <v>1470</v>
      </c>
      <c r="N320" s="145">
        <f t="shared" si="41"/>
        <v>2875075</v>
      </c>
      <c r="O320" s="145">
        <f>O321+O328+O334</f>
        <v>578649</v>
      </c>
      <c r="P320" s="145">
        <f>P321+P326+P328+P334</f>
        <v>2296426</v>
      </c>
      <c r="Q320" s="145">
        <f>Q321+Q328+Q334</f>
        <v>0</v>
      </c>
    </row>
    <row r="321" spans="1:17" s="154" customFormat="1" ht="15" customHeight="1">
      <c r="A321" s="167" t="s">
        <v>426</v>
      </c>
      <c r="B321" s="233"/>
      <c r="C321" s="140" t="s">
        <v>427</v>
      </c>
      <c r="D321" s="140" t="e">
        <f>#REF!+#REF!+#REF!</f>
        <v>#REF!</v>
      </c>
      <c r="E321" s="140" t="e">
        <f>#REF!+#REF!+#REF!+E322</f>
        <v>#REF!</v>
      </c>
      <c r="F321" s="140" t="e">
        <f>#REF!+#REF!+#REF!+F322</f>
        <v>#REF!</v>
      </c>
      <c r="G321" s="140" t="e">
        <f>#REF!+#REF!+#REF!</f>
        <v>#REF!</v>
      </c>
      <c r="H321" s="140" t="e">
        <f>#REF!+H322+H325+H323+H324+#REF!</f>
        <v>#REF!</v>
      </c>
      <c r="I321" s="140" t="e">
        <f>#REF!+I322+I325+I323+I324+#REF!</f>
        <v>#REF!</v>
      </c>
      <c r="J321" s="140" t="e">
        <f>#REF!+J322+J325+J323+J324+#REF!</f>
        <v>#REF!</v>
      </c>
      <c r="K321" s="140">
        <f>SUM(K322:K325)</f>
        <v>2156787</v>
      </c>
      <c r="L321" s="140">
        <f>SUM(L322:L325)</f>
        <v>85887</v>
      </c>
      <c r="M321" s="140">
        <f>SUM(M322:M325)</f>
        <v>0</v>
      </c>
      <c r="N321" s="140">
        <f t="shared" si="41"/>
        <v>2242674</v>
      </c>
      <c r="O321" s="140">
        <f>SUM(O322:O325)</f>
        <v>0</v>
      </c>
      <c r="P321" s="140">
        <f>SUM(P322:P325)</f>
        <v>2242674</v>
      </c>
      <c r="Q321" s="140">
        <f>SUM(Q322:Q325)</f>
        <v>0</v>
      </c>
    </row>
    <row r="322" spans="1:17" s="154" customFormat="1" ht="19.5" customHeight="1">
      <c r="A322" s="12"/>
      <c r="B322" s="13" t="s">
        <v>428</v>
      </c>
      <c r="C322" s="24" t="s">
        <v>198</v>
      </c>
      <c r="D322" s="15"/>
      <c r="E322" s="15">
        <v>0</v>
      </c>
      <c r="F322" s="15">
        <v>9135</v>
      </c>
      <c r="G322" s="15">
        <v>0</v>
      </c>
      <c r="H322" s="15">
        <v>100000</v>
      </c>
      <c r="I322" s="15">
        <v>0</v>
      </c>
      <c r="J322" s="15">
        <v>0</v>
      </c>
      <c r="K322" s="15">
        <v>551288</v>
      </c>
      <c r="L322" s="15">
        <v>43930</v>
      </c>
      <c r="M322" s="15">
        <v>0</v>
      </c>
      <c r="N322" s="7">
        <f t="shared" si="41"/>
        <v>595218</v>
      </c>
      <c r="O322" s="15">
        <v>0</v>
      </c>
      <c r="P322" s="16">
        <f aca="true" t="shared" si="45" ref="P322:P327">N322</f>
        <v>595218</v>
      </c>
      <c r="Q322" s="14">
        <v>0</v>
      </c>
    </row>
    <row r="323" spans="1:17" s="154" customFormat="1" ht="21.75" customHeight="1">
      <c r="A323" s="12"/>
      <c r="B323" s="13" t="s">
        <v>274</v>
      </c>
      <c r="C323" s="107" t="s">
        <v>163</v>
      </c>
      <c r="D323" s="15"/>
      <c r="E323" s="15"/>
      <c r="F323" s="15"/>
      <c r="G323" s="15"/>
      <c r="H323" s="15">
        <v>5011670</v>
      </c>
      <c r="I323" s="15">
        <v>0</v>
      </c>
      <c r="J323" s="15">
        <v>0</v>
      </c>
      <c r="K323" s="15">
        <v>28387</v>
      </c>
      <c r="L323" s="15"/>
      <c r="M323" s="15">
        <v>0</v>
      </c>
      <c r="N323" s="7">
        <f t="shared" si="41"/>
        <v>28387</v>
      </c>
      <c r="O323" s="15">
        <v>0</v>
      </c>
      <c r="P323" s="16">
        <f t="shared" si="45"/>
        <v>28387</v>
      </c>
      <c r="Q323" s="14">
        <v>0</v>
      </c>
    </row>
    <row r="324" spans="1:17" s="154" customFormat="1" ht="21" customHeight="1">
      <c r="A324" s="12"/>
      <c r="B324" s="13" t="s">
        <v>481</v>
      </c>
      <c r="C324" s="107" t="s">
        <v>163</v>
      </c>
      <c r="D324" s="15"/>
      <c r="E324" s="15"/>
      <c r="F324" s="15"/>
      <c r="G324" s="15"/>
      <c r="H324" s="15">
        <v>8600</v>
      </c>
      <c r="I324" s="15">
        <v>0</v>
      </c>
      <c r="J324" s="15">
        <v>0</v>
      </c>
      <c r="K324" s="15">
        <v>840758</v>
      </c>
      <c r="L324" s="15"/>
      <c r="M324" s="15">
        <v>0</v>
      </c>
      <c r="N324" s="7">
        <f t="shared" si="41"/>
        <v>840758</v>
      </c>
      <c r="O324" s="15">
        <v>0</v>
      </c>
      <c r="P324" s="16">
        <f t="shared" si="45"/>
        <v>840758</v>
      </c>
      <c r="Q324" s="14">
        <v>0</v>
      </c>
    </row>
    <row r="325" spans="1:17" s="154" customFormat="1" ht="22.5" customHeight="1">
      <c r="A325" s="12"/>
      <c r="B325" s="13" t="s">
        <v>638</v>
      </c>
      <c r="C325" s="107" t="s">
        <v>163</v>
      </c>
      <c r="D325" s="15"/>
      <c r="E325" s="15"/>
      <c r="F325" s="15"/>
      <c r="G325" s="15"/>
      <c r="H325" s="15">
        <v>74000</v>
      </c>
      <c r="I325" s="15">
        <v>0</v>
      </c>
      <c r="J325" s="15">
        <v>0</v>
      </c>
      <c r="K325" s="15">
        <v>736354</v>
      </c>
      <c r="L325" s="15">
        <v>41957</v>
      </c>
      <c r="M325" s="15"/>
      <c r="N325" s="459">
        <f t="shared" si="41"/>
        <v>778311</v>
      </c>
      <c r="O325" s="15">
        <v>0</v>
      </c>
      <c r="P325" s="16">
        <f t="shared" si="45"/>
        <v>778311</v>
      </c>
      <c r="Q325" s="14">
        <v>0</v>
      </c>
    </row>
    <row r="326" spans="1:17" s="154" customFormat="1" ht="24.75" customHeight="1">
      <c r="A326" s="167" t="s">
        <v>728</v>
      </c>
      <c r="B326" s="233"/>
      <c r="C326" s="343" t="s">
        <v>729</v>
      </c>
      <c r="D326" s="186"/>
      <c r="E326" s="186"/>
      <c r="F326" s="186"/>
      <c r="G326" s="186"/>
      <c r="H326" s="186"/>
      <c r="I326" s="186"/>
      <c r="J326" s="186"/>
      <c r="K326" s="344">
        <f>K327</f>
        <v>45000</v>
      </c>
      <c r="L326" s="344">
        <f>L327</f>
        <v>0</v>
      </c>
      <c r="M326" s="344">
        <f>M327</f>
        <v>0</v>
      </c>
      <c r="N326" s="344">
        <f t="shared" si="41"/>
        <v>45000</v>
      </c>
      <c r="O326" s="344">
        <v>0</v>
      </c>
      <c r="P326" s="345">
        <f t="shared" si="45"/>
        <v>45000</v>
      </c>
      <c r="Q326" s="345">
        <v>0</v>
      </c>
    </row>
    <row r="327" spans="1:17" s="154" customFormat="1" ht="33" customHeight="1">
      <c r="A327" s="12"/>
      <c r="B327" s="13" t="s">
        <v>730</v>
      </c>
      <c r="C327" s="107" t="s">
        <v>731</v>
      </c>
      <c r="D327" s="15"/>
      <c r="E327" s="15"/>
      <c r="F327" s="15"/>
      <c r="G327" s="15"/>
      <c r="H327" s="15"/>
      <c r="I327" s="15"/>
      <c r="J327" s="15"/>
      <c r="K327" s="15">
        <v>45000</v>
      </c>
      <c r="L327" s="15">
        <v>0</v>
      </c>
      <c r="M327" s="15"/>
      <c r="N327" s="452">
        <f t="shared" si="41"/>
        <v>45000</v>
      </c>
      <c r="O327" s="15">
        <v>0</v>
      </c>
      <c r="P327" s="16">
        <f t="shared" si="45"/>
        <v>45000</v>
      </c>
      <c r="Q327" s="460">
        <v>0</v>
      </c>
    </row>
    <row r="328" spans="1:17" s="153" customFormat="1" ht="16.5" customHeight="1">
      <c r="A328" s="167" t="s">
        <v>498</v>
      </c>
      <c r="B328" s="167"/>
      <c r="C328" s="168" t="s">
        <v>499</v>
      </c>
      <c r="D328" s="140"/>
      <c r="E328" s="140"/>
      <c r="F328" s="140"/>
      <c r="G328" s="140"/>
      <c r="H328" s="140"/>
      <c r="I328" s="140"/>
      <c r="J328" s="140"/>
      <c r="K328" s="140">
        <f>SUM(K329:K333)</f>
        <v>8752</v>
      </c>
      <c r="L328" s="140">
        <f>SUM(L329:L333)</f>
        <v>0</v>
      </c>
      <c r="M328" s="140">
        <f>SUM(M329:M333)</f>
        <v>0</v>
      </c>
      <c r="N328" s="140">
        <f t="shared" si="41"/>
        <v>8752</v>
      </c>
      <c r="O328" s="140">
        <f>SUM(O332:O333)</f>
        <v>0</v>
      </c>
      <c r="P328" s="140">
        <f>SUM(P329:P333)</f>
        <v>8752</v>
      </c>
      <c r="Q328" s="140">
        <f>SUM(Q332:Q333)</f>
        <v>0</v>
      </c>
    </row>
    <row r="329" spans="1:17" s="153" customFormat="1" ht="16.5" customHeight="1">
      <c r="A329" s="12"/>
      <c r="B329" s="25" t="s">
        <v>234</v>
      </c>
      <c r="C329" s="229" t="s">
        <v>235</v>
      </c>
      <c r="D329" s="6"/>
      <c r="E329" s="6"/>
      <c r="F329" s="6"/>
      <c r="G329" s="6"/>
      <c r="H329" s="6"/>
      <c r="I329" s="6"/>
      <c r="J329" s="6"/>
      <c r="K329" s="15">
        <v>4156</v>
      </c>
      <c r="L329" s="15"/>
      <c r="M329" s="6"/>
      <c r="N329" s="7">
        <f t="shared" si="41"/>
        <v>4156</v>
      </c>
      <c r="O329" s="15">
        <v>0</v>
      </c>
      <c r="P329" s="15">
        <f>N329</f>
        <v>4156</v>
      </c>
      <c r="Q329" s="15"/>
    </row>
    <row r="330" spans="1:17" s="153" customFormat="1" ht="17.25" customHeight="1">
      <c r="A330" s="12"/>
      <c r="B330" s="25" t="s">
        <v>267</v>
      </c>
      <c r="C330" s="229" t="s">
        <v>307</v>
      </c>
      <c r="D330" s="6"/>
      <c r="E330" s="6"/>
      <c r="F330" s="6"/>
      <c r="G330" s="6"/>
      <c r="H330" s="6"/>
      <c r="I330" s="6"/>
      <c r="J330" s="6"/>
      <c r="K330" s="15">
        <v>756</v>
      </c>
      <c r="L330" s="15"/>
      <c r="M330" s="6"/>
      <c r="N330" s="7">
        <f t="shared" si="41"/>
        <v>756</v>
      </c>
      <c r="O330" s="15">
        <v>0</v>
      </c>
      <c r="P330" s="15">
        <f>N330</f>
        <v>756</v>
      </c>
      <c r="Q330" s="15"/>
    </row>
    <row r="331" spans="1:17" s="153" customFormat="1" ht="17.25" customHeight="1">
      <c r="A331" s="12"/>
      <c r="B331" s="25" t="s">
        <v>242</v>
      </c>
      <c r="C331" s="229" t="s">
        <v>243</v>
      </c>
      <c r="D331" s="6"/>
      <c r="E331" s="6"/>
      <c r="F331" s="6"/>
      <c r="G331" s="6"/>
      <c r="H331" s="6"/>
      <c r="I331" s="6"/>
      <c r="J331" s="6"/>
      <c r="K331" s="15">
        <v>102</v>
      </c>
      <c r="L331" s="15"/>
      <c r="M331" s="6"/>
      <c r="N331" s="7">
        <f t="shared" si="41"/>
        <v>102</v>
      </c>
      <c r="O331" s="15">
        <v>0</v>
      </c>
      <c r="P331" s="15">
        <f>N331</f>
        <v>102</v>
      </c>
      <c r="Q331" s="15"/>
    </row>
    <row r="332" spans="1:17" s="154" customFormat="1" ht="15.75" customHeight="1">
      <c r="A332" s="23"/>
      <c r="B332" s="23" t="s">
        <v>244</v>
      </c>
      <c r="C332" s="229" t="s">
        <v>245</v>
      </c>
      <c r="D332" s="15"/>
      <c r="E332" s="15"/>
      <c r="F332" s="15"/>
      <c r="G332" s="15"/>
      <c r="H332" s="7"/>
      <c r="I332" s="7"/>
      <c r="J332" s="7"/>
      <c r="K332" s="7">
        <v>3547</v>
      </c>
      <c r="L332" s="7"/>
      <c r="M332" s="7">
        <v>0</v>
      </c>
      <c r="N332" s="7">
        <f t="shared" si="41"/>
        <v>3547</v>
      </c>
      <c r="O332" s="15">
        <v>0</v>
      </c>
      <c r="P332" s="15">
        <f>N332</f>
        <v>3547</v>
      </c>
      <c r="Q332" s="16">
        <v>0</v>
      </c>
    </row>
    <row r="333" spans="1:17" s="154" customFormat="1" ht="15.75" customHeight="1">
      <c r="A333" s="12"/>
      <c r="B333" s="23" t="s">
        <v>256</v>
      </c>
      <c r="C333" s="192" t="s">
        <v>257</v>
      </c>
      <c r="D333" s="15"/>
      <c r="E333" s="15"/>
      <c r="F333" s="15"/>
      <c r="G333" s="15"/>
      <c r="H333" s="7"/>
      <c r="I333" s="7"/>
      <c r="J333" s="7"/>
      <c r="K333" s="7">
        <v>191</v>
      </c>
      <c r="L333" s="7">
        <v>0</v>
      </c>
      <c r="M333" s="7"/>
      <c r="N333" s="7">
        <f t="shared" si="41"/>
        <v>191</v>
      </c>
      <c r="O333" s="15">
        <v>0</v>
      </c>
      <c r="P333" s="15">
        <f>N333</f>
        <v>191</v>
      </c>
      <c r="Q333" s="16"/>
    </row>
    <row r="334" spans="1:17" s="154" customFormat="1" ht="24.75" customHeight="1">
      <c r="A334" s="178" t="s">
        <v>430</v>
      </c>
      <c r="B334" s="234"/>
      <c r="C334" s="168" t="s">
        <v>67</v>
      </c>
      <c r="D334" s="140" t="e">
        <f>#REF!</f>
        <v>#REF!</v>
      </c>
      <c r="E334" s="140" t="e">
        <f>#REF!+E335+#REF!</f>
        <v>#REF!</v>
      </c>
      <c r="F334" s="140" t="e">
        <f>#REF!+F335+#REF!</f>
        <v>#REF!</v>
      </c>
      <c r="G334" s="140" t="e">
        <f>#REF!+G335+#REF!</f>
        <v>#REF!</v>
      </c>
      <c r="H334" s="140">
        <f aca="true" t="shared" si="46" ref="H334:Q334">H335</f>
        <v>363000</v>
      </c>
      <c r="I334" s="140">
        <f t="shared" si="46"/>
        <v>0</v>
      </c>
      <c r="J334" s="140">
        <f t="shared" si="46"/>
        <v>0</v>
      </c>
      <c r="K334" s="140">
        <f>K335</f>
        <v>578649</v>
      </c>
      <c r="L334" s="140">
        <f>L335</f>
        <v>1470</v>
      </c>
      <c r="M334" s="140">
        <f>M335</f>
        <v>1470</v>
      </c>
      <c r="N334" s="140">
        <f aca="true" t="shared" si="47" ref="N334:N396">K334+L334-M334</f>
        <v>578649</v>
      </c>
      <c r="O334" s="140">
        <f t="shared" si="46"/>
        <v>578649</v>
      </c>
      <c r="P334" s="140">
        <f t="shared" si="46"/>
        <v>0</v>
      </c>
      <c r="Q334" s="140">
        <f t="shared" si="46"/>
        <v>0</v>
      </c>
    </row>
    <row r="335" spans="1:17" s="154" customFormat="1" ht="16.5" customHeight="1">
      <c r="A335" s="18"/>
      <c r="B335" s="23" t="s">
        <v>431</v>
      </c>
      <c r="C335" s="229" t="s">
        <v>716</v>
      </c>
      <c r="D335" s="7"/>
      <c r="E335" s="7">
        <v>47223</v>
      </c>
      <c r="F335" s="7">
        <v>0</v>
      </c>
      <c r="G335" s="7">
        <v>0</v>
      </c>
      <c r="H335" s="7">
        <v>363000</v>
      </c>
      <c r="I335" s="7">
        <v>0</v>
      </c>
      <c r="J335" s="7">
        <v>0</v>
      </c>
      <c r="K335" s="7">
        <v>578649</v>
      </c>
      <c r="L335" s="7">
        <v>1470</v>
      </c>
      <c r="M335" s="7">
        <v>1470</v>
      </c>
      <c r="N335" s="7">
        <f t="shared" si="47"/>
        <v>578649</v>
      </c>
      <c r="O335" s="7">
        <f>N335</f>
        <v>578649</v>
      </c>
      <c r="P335" s="19">
        <v>0</v>
      </c>
      <c r="Q335" s="19">
        <v>0</v>
      </c>
    </row>
    <row r="336" spans="1:17" s="154" customFormat="1" ht="21.75" customHeight="1">
      <c r="A336" s="144" t="s">
        <v>357</v>
      </c>
      <c r="B336" s="144"/>
      <c r="C336" s="145" t="s">
        <v>364</v>
      </c>
      <c r="D336" s="145" t="e">
        <f>D337+D356+D381+#REF!+D390+#REF!+#REF!+D435</f>
        <v>#REF!</v>
      </c>
      <c r="E336" s="145" t="e">
        <f>E337+E356+E381+#REF!+E390+#REF!+#REF!+#REF!+E435+#REF!</f>
        <v>#REF!</v>
      </c>
      <c r="F336" s="145" t="e">
        <f>F337+F356+F381+#REF!+F390+#REF!+#REF!+#REF!+F435+#REF!</f>
        <v>#REF!</v>
      </c>
      <c r="G336" s="145" t="e">
        <f>G337+G356+G381+#REF!+G390+#REF!+#REF!+#REF!+G435+#REF!</f>
        <v>#REF!</v>
      </c>
      <c r="H336" s="145" t="e">
        <f>H337+H356+H381+#REF!+H390+#REF!+#REF!+#REF!+H435+#REF!</f>
        <v>#REF!</v>
      </c>
      <c r="I336" s="145" t="e">
        <f>I337+I356+I381+#REF!+I390+#REF!+#REF!+#REF!+I435+#REF!</f>
        <v>#REF!</v>
      </c>
      <c r="J336" s="145" t="e">
        <f>J337+J356+J381+#REF!+J390+#REF!+#REF!+#REF!+J435+#REF!</f>
        <v>#REF!</v>
      </c>
      <c r="K336" s="451">
        <f>K337+K356+K374+K381+K390+K403+K416+K419</f>
        <v>4216120</v>
      </c>
      <c r="L336" s="451">
        <f>L337+L356+L374+L381+L390+L403+L416+L419</f>
        <v>162473</v>
      </c>
      <c r="M336" s="451">
        <f>M337+M356+M374+M381+M390+M403+M416+M419</f>
        <v>178211</v>
      </c>
      <c r="N336" s="145">
        <f t="shared" si="47"/>
        <v>4200382</v>
      </c>
      <c r="O336" s="451">
        <f>O337+O356+O374+O381+O390+O403+O416+O419</f>
        <v>398666</v>
      </c>
      <c r="P336" s="145">
        <f>P337+P356+P381+P390+P403+P416+P419</f>
        <v>3488104</v>
      </c>
      <c r="Q336" s="145">
        <f>Q337+Q356+Q381+Q390+Q403+Q416+Q419</f>
        <v>313612</v>
      </c>
    </row>
    <row r="337" spans="1:17" s="154" customFormat="1" ht="17.25" customHeight="1">
      <c r="A337" s="167" t="s">
        <v>359</v>
      </c>
      <c r="B337" s="167"/>
      <c r="C337" s="168" t="s">
        <v>433</v>
      </c>
      <c r="D337" s="140" t="e">
        <f>D340+D341+D342+#REF!</f>
        <v>#REF!</v>
      </c>
      <c r="E337" s="140" t="e">
        <f>E340+E341+E342+E343+#REF!+E338+#REF!+E339+E345+E346+#REF!+E348+#REF!+E350+E352+E353+E354+#REF!</f>
        <v>#REF!</v>
      </c>
      <c r="F337" s="140" t="e">
        <f>F340+F341+F342+F343+#REF!+F338+#REF!+F339+F345+F346+#REF!+F348+#REF!+F350+F352+F353+F354+#REF!</f>
        <v>#REF!</v>
      </c>
      <c r="G337" s="140" t="e">
        <f>G340+G341+G342+G343+#REF!+G338+#REF!+G339+G345+G346+#REF!+G348+#REF!+G350+G352+G353+G354+#REF!</f>
        <v>#REF!</v>
      </c>
      <c r="H337" s="140" t="e">
        <f>H340+H341+H342+H343+H338+H339+H345+H346+H348+H350+H352+H353+H354+#REF!+H347</f>
        <v>#REF!</v>
      </c>
      <c r="I337" s="140" t="e">
        <f>I340+I341+I342+I343+I338+I339+I345+I346+I348+I350+I352+I353+I354+#REF!+I347</f>
        <v>#REF!</v>
      </c>
      <c r="J337" s="140" t="e">
        <f>J340+J341+J342+J343+J338+J339+J345+J346+J348+J350+J352+J353+J354+#REF!+J347</f>
        <v>#REF!</v>
      </c>
      <c r="K337" s="140">
        <f>SUM(K338:K355)</f>
        <v>1444594</v>
      </c>
      <c r="L337" s="140">
        <f>SUM(L338:L355)</f>
        <v>60418</v>
      </c>
      <c r="M337" s="140">
        <f>SUM(M338:M355)</f>
        <v>95019</v>
      </c>
      <c r="N337" s="140">
        <f t="shared" si="47"/>
        <v>1409993</v>
      </c>
      <c r="O337" s="140">
        <f>SUM(O338:O355)</f>
        <v>80000</v>
      </c>
      <c r="P337" s="140">
        <f>SUM(P338:P355)</f>
        <v>1048794</v>
      </c>
      <c r="Q337" s="140">
        <f>SUM(Q338:Q355)</f>
        <v>281199</v>
      </c>
    </row>
    <row r="338" spans="1:17" s="154" customFormat="1" ht="12" customHeight="1">
      <c r="A338" s="12"/>
      <c r="B338" s="23" t="s">
        <v>218</v>
      </c>
      <c r="C338" s="192" t="s">
        <v>429</v>
      </c>
      <c r="D338" s="7"/>
      <c r="E338" s="7">
        <v>10492</v>
      </c>
      <c r="F338" s="7">
        <v>0</v>
      </c>
      <c r="G338" s="7">
        <v>0</v>
      </c>
      <c r="H338" s="7">
        <v>2952</v>
      </c>
      <c r="I338" s="7">
        <v>0</v>
      </c>
      <c r="J338" s="7">
        <v>0</v>
      </c>
      <c r="K338" s="7">
        <v>855</v>
      </c>
      <c r="L338" s="7">
        <v>0</v>
      </c>
      <c r="M338" s="7"/>
      <c r="N338" s="7">
        <f t="shared" si="47"/>
        <v>855</v>
      </c>
      <c r="O338" s="7">
        <v>0</v>
      </c>
      <c r="P338" s="19">
        <f>N338</f>
        <v>855</v>
      </c>
      <c r="Q338" s="19">
        <v>0</v>
      </c>
    </row>
    <row r="339" spans="1:17" s="154" customFormat="1" ht="12.75" customHeight="1">
      <c r="A339" s="12"/>
      <c r="B339" s="23" t="s">
        <v>435</v>
      </c>
      <c r="C339" s="192" t="s">
        <v>436</v>
      </c>
      <c r="D339" s="7"/>
      <c r="E339" s="7">
        <v>101199</v>
      </c>
      <c r="F339" s="7">
        <v>0</v>
      </c>
      <c r="G339" s="7">
        <v>0</v>
      </c>
      <c r="H339" s="7">
        <v>103850</v>
      </c>
      <c r="I339" s="7">
        <v>0</v>
      </c>
      <c r="J339" s="7">
        <v>0</v>
      </c>
      <c r="K339" s="7">
        <v>87955</v>
      </c>
      <c r="L339" s="7"/>
      <c r="M339" s="7">
        <v>15604</v>
      </c>
      <c r="N339" s="7">
        <f t="shared" si="47"/>
        <v>72351</v>
      </c>
      <c r="O339" s="7">
        <v>0</v>
      </c>
      <c r="P339" s="19">
        <f aca="true" t="shared" si="48" ref="P339:P354">N339</f>
        <v>72351</v>
      </c>
      <c r="Q339" s="19">
        <v>0</v>
      </c>
    </row>
    <row r="340" spans="1:17" s="154" customFormat="1" ht="13.5" customHeight="1">
      <c r="A340" s="12"/>
      <c r="B340" s="23" t="s">
        <v>234</v>
      </c>
      <c r="C340" s="229" t="s">
        <v>235</v>
      </c>
      <c r="D340" s="7">
        <v>956632</v>
      </c>
      <c r="E340" s="7">
        <v>1089025</v>
      </c>
      <c r="F340" s="7">
        <v>0</v>
      </c>
      <c r="G340" s="7">
        <v>0</v>
      </c>
      <c r="H340" s="7">
        <v>335820</v>
      </c>
      <c r="I340" s="7">
        <v>0</v>
      </c>
      <c r="J340" s="7">
        <v>0</v>
      </c>
      <c r="K340" s="7">
        <v>443742</v>
      </c>
      <c r="L340" s="7">
        <v>0</v>
      </c>
      <c r="M340" s="7">
        <v>6669</v>
      </c>
      <c r="N340" s="7">
        <f t="shared" si="47"/>
        <v>437073</v>
      </c>
      <c r="O340" s="7">
        <v>0</v>
      </c>
      <c r="P340" s="19">
        <f t="shared" si="48"/>
        <v>437073</v>
      </c>
      <c r="Q340" s="19">
        <v>0</v>
      </c>
    </row>
    <row r="341" spans="1:17" s="154" customFormat="1" ht="13.5" customHeight="1">
      <c r="A341" s="12"/>
      <c r="B341" s="23" t="s">
        <v>238</v>
      </c>
      <c r="C341" s="229" t="s">
        <v>239</v>
      </c>
      <c r="D341" s="8">
        <v>70520</v>
      </c>
      <c r="E341" s="7">
        <v>77400</v>
      </c>
      <c r="F341" s="7">
        <v>0</v>
      </c>
      <c r="G341" s="7">
        <v>0</v>
      </c>
      <c r="H341" s="7">
        <v>29155</v>
      </c>
      <c r="I341" s="7">
        <v>0</v>
      </c>
      <c r="J341" s="7">
        <v>0</v>
      </c>
      <c r="K341" s="7">
        <v>33919</v>
      </c>
      <c r="L341" s="7">
        <v>0</v>
      </c>
      <c r="M341" s="7"/>
      <c r="N341" s="7">
        <f t="shared" si="47"/>
        <v>33919</v>
      </c>
      <c r="O341" s="7">
        <v>0</v>
      </c>
      <c r="P341" s="19">
        <f t="shared" si="48"/>
        <v>33919</v>
      </c>
      <c r="Q341" s="19">
        <v>0</v>
      </c>
    </row>
    <row r="342" spans="1:17" s="154" customFormat="1" ht="13.5" customHeight="1">
      <c r="A342" s="12"/>
      <c r="B342" s="20" t="s">
        <v>293</v>
      </c>
      <c r="C342" s="229" t="s">
        <v>307</v>
      </c>
      <c r="D342" s="7">
        <v>208573</v>
      </c>
      <c r="E342" s="7">
        <v>207904</v>
      </c>
      <c r="F342" s="7">
        <v>0</v>
      </c>
      <c r="G342" s="7">
        <v>0</v>
      </c>
      <c r="H342" s="7">
        <v>65200</v>
      </c>
      <c r="I342" s="7">
        <v>0</v>
      </c>
      <c r="J342" s="7">
        <v>0</v>
      </c>
      <c r="K342" s="7">
        <v>78364</v>
      </c>
      <c r="L342" s="7"/>
      <c r="M342" s="7">
        <v>483</v>
      </c>
      <c r="N342" s="7">
        <f t="shared" si="47"/>
        <v>77881</v>
      </c>
      <c r="O342" s="7">
        <v>0</v>
      </c>
      <c r="P342" s="19">
        <f t="shared" si="48"/>
        <v>77881</v>
      </c>
      <c r="Q342" s="19">
        <v>0</v>
      </c>
    </row>
    <row r="343" spans="1:17" s="154" customFormat="1" ht="13.5" customHeight="1">
      <c r="A343" s="12"/>
      <c r="B343" s="20" t="s">
        <v>242</v>
      </c>
      <c r="C343" s="229" t="s">
        <v>243</v>
      </c>
      <c r="D343" s="7"/>
      <c r="E343" s="7">
        <v>27489</v>
      </c>
      <c r="F343" s="7">
        <v>0</v>
      </c>
      <c r="G343" s="7">
        <v>0</v>
      </c>
      <c r="H343" s="7">
        <v>8940</v>
      </c>
      <c r="I343" s="7">
        <v>0</v>
      </c>
      <c r="J343" s="7">
        <v>0</v>
      </c>
      <c r="K343" s="7">
        <v>10851</v>
      </c>
      <c r="L343" s="7">
        <v>110</v>
      </c>
      <c r="M343" s="7">
        <v>0</v>
      </c>
      <c r="N343" s="7">
        <f t="shared" si="47"/>
        <v>10961</v>
      </c>
      <c r="O343" s="7">
        <v>0</v>
      </c>
      <c r="P343" s="19">
        <f t="shared" si="48"/>
        <v>10961</v>
      </c>
      <c r="Q343" s="19">
        <v>0</v>
      </c>
    </row>
    <row r="344" spans="1:17" s="154" customFormat="1" ht="13.5" customHeight="1">
      <c r="A344" s="12"/>
      <c r="B344" s="20" t="s">
        <v>97</v>
      </c>
      <c r="C344" s="192" t="s">
        <v>109</v>
      </c>
      <c r="D344" s="7"/>
      <c r="E344" s="7"/>
      <c r="F344" s="7"/>
      <c r="G344" s="7"/>
      <c r="H344" s="7"/>
      <c r="I344" s="7"/>
      <c r="J344" s="7"/>
      <c r="K344" s="7">
        <v>1600</v>
      </c>
      <c r="L344" s="7">
        <v>0</v>
      </c>
      <c r="M344" s="7"/>
      <c r="N344" s="7">
        <f t="shared" si="47"/>
        <v>1600</v>
      </c>
      <c r="O344" s="7"/>
      <c r="P344" s="19">
        <f t="shared" si="48"/>
        <v>1600</v>
      </c>
      <c r="Q344" s="19"/>
    </row>
    <row r="345" spans="1:17" s="154" customFormat="1" ht="14.25" customHeight="1">
      <c r="A345" s="12"/>
      <c r="B345" s="23" t="s">
        <v>244</v>
      </c>
      <c r="C345" s="192" t="s">
        <v>396</v>
      </c>
      <c r="D345" s="7"/>
      <c r="E345" s="7">
        <v>96956</v>
      </c>
      <c r="F345" s="7">
        <v>0</v>
      </c>
      <c r="G345" s="7">
        <v>0</v>
      </c>
      <c r="H345" s="7">
        <v>36573</v>
      </c>
      <c r="I345" s="7">
        <v>0</v>
      </c>
      <c r="J345" s="7">
        <v>0</v>
      </c>
      <c r="K345" s="7">
        <v>171891</v>
      </c>
      <c r="L345" s="7">
        <v>0</v>
      </c>
      <c r="M345" s="7">
        <v>53348</v>
      </c>
      <c r="N345" s="7">
        <f t="shared" si="47"/>
        <v>118543</v>
      </c>
      <c r="O345" s="7">
        <v>25617</v>
      </c>
      <c r="P345" s="19">
        <f>N345-O345</f>
        <v>92926</v>
      </c>
      <c r="Q345" s="19">
        <v>0</v>
      </c>
    </row>
    <row r="346" spans="1:17" s="154" customFormat="1" ht="14.25" customHeight="1">
      <c r="A346" s="12"/>
      <c r="B346" s="23" t="s">
        <v>346</v>
      </c>
      <c r="C346" s="192" t="s">
        <v>437</v>
      </c>
      <c r="D346" s="7"/>
      <c r="E346" s="7">
        <v>188099</v>
      </c>
      <c r="F346" s="7">
        <v>0</v>
      </c>
      <c r="G346" s="7">
        <v>0</v>
      </c>
      <c r="H346" s="15">
        <v>50136</v>
      </c>
      <c r="I346" s="7">
        <v>0</v>
      </c>
      <c r="J346" s="7">
        <v>0</v>
      </c>
      <c r="K346" s="7">
        <v>65000</v>
      </c>
      <c r="L346" s="7">
        <v>2000</v>
      </c>
      <c r="M346" s="7"/>
      <c r="N346" s="7">
        <f t="shared" si="47"/>
        <v>67000</v>
      </c>
      <c r="O346" s="7">
        <v>0</v>
      </c>
      <c r="P346" s="19">
        <f t="shared" si="48"/>
        <v>67000</v>
      </c>
      <c r="Q346" s="19">
        <v>0</v>
      </c>
    </row>
    <row r="347" spans="1:17" s="154" customFormat="1" ht="15.75" customHeight="1">
      <c r="A347" s="12"/>
      <c r="B347" s="23" t="s">
        <v>440</v>
      </c>
      <c r="C347" s="192" t="s">
        <v>441</v>
      </c>
      <c r="D347" s="7"/>
      <c r="E347" s="7"/>
      <c r="F347" s="7"/>
      <c r="G347" s="7"/>
      <c r="H347" s="15">
        <v>1500</v>
      </c>
      <c r="I347" s="7">
        <v>0</v>
      </c>
      <c r="J347" s="7">
        <v>0</v>
      </c>
      <c r="K347" s="7">
        <v>3600</v>
      </c>
      <c r="L347" s="7">
        <v>100</v>
      </c>
      <c r="M347" s="7"/>
      <c r="N347" s="7">
        <f t="shared" si="47"/>
        <v>3700</v>
      </c>
      <c r="O347" s="7">
        <v>0</v>
      </c>
      <c r="P347" s="19">
        <f t="shared" si="48"/>
        <v>3700</v>
      </c>
      <c r="Q347" s="19">
        <v>0</v>
      </c>
    </row>
    <row r="348" spans="1:17" s="154" customFormat="1" ht="14.25" customHeight="1">
      <c r="A348" s="12"/>
      <c r="B348" s="23" t="s">
        <v>246</v>
      </c>
      <c r="C348" s="192" t="s">
        <v>350</v>
      </c>
      <c r="D348" s="7"/>
      <c r="E348" s="7">
        <v>82690</v>
      </c>
      <c r="F348" s="7">
        <v>0</v>
      </c>
      <c r="G348" s="7">
        <v>0</v>
      </c>
      <c r="H348" s="7">
        <v>63330</v>
      </c>
      <c r="I348" s="7">
        <v>0</v>
      </c>
      <c r="J348" s="7">
        <v>0</v>
      </c>
      <c r="K348" s="7">
        <v>88024</v>
      </c>
      <c r="L348" s="7">
        <v>3000</v>
      </c>
      <c r="M348" s="7">
        <v>0</v>
      </c>
      <c r="N348" s="7">
        <f t="shared" si="47"/>
        <v>91024</v>
      </c>
      <c r="O348" s="7">
        <v>0</v>
      </c>
      <c r="P348" s="19">
        <f t="shared" si="48"/>
        <v>91024</v>
      </c>
      <c r="Q348" s="19">
        <v>0</v>
      </c>
    </row>
    <row r="349" spans="1:17" s="154" customFormat="1" ht="14.25" customHeight="1">
      <c r="A349" s="12"/>
      <c r="B349" s="23" t="s">
        <v>248</v>
      </c>
      <c r="C349" s="192" t="s">
        <v>351</v>
      </c>
      <c r="D349" s="7"/>
      <c r="E349" s="7"/>
      <c r="F349" s="7"/>
      <c r="G349" s="7"/>
      <c r="H349" s="7"/>
      <c r="I349" s="7"/>
      <c r="J349" s="7"/>
      <c r="K349" s="7">
        <v>94000</v>
      </c>
      <c r="L349" s="7">
        <v>54383</v>
      </c>
      <c r="M349" s="7"/>
      <c r="N349" s="7">
        <f t="shared" si="47"/>
        <v>148383</v>
      </c>
      <c r="O349" s="7">
        <v>54383</v>
      </c>
      <c r="P349" s="19">
        <f>N349-O349</f>
        <v>94000</v>
      </c>
      <c r="Q349" s="19"/>
    </row>
    <row r="350" spans="1:17" s="154" customFormat="1" ht="16.5" customHeight="1">
      <c r="A350" s="12"/>
      <c r="B350" s="23" t="s">
        <v>250</v>
      </c>
      <c r="C350" s="192" t="s">
        <v>352</v>
      </c>
      <c r="D350" s="7"/>
      <c r="E350" s="7">
        <v>39235</v>
      </c>
      <c r="F350" s="7">
        <v>0</v>
      </c>
      <c r="G350" s="7">
        <v>0</v>
      </c>
      <c r="H350" s="7">
        <v>8500</v>
      </c>
      <c r="I350" s="7">
        <v>0</v>
      </c>
      <c r="J350" s="7">
        <v>0</v>
      </c>
      <c r="K350" s="7">
        <v>28260</v>
      </c>
      <c r="L350" s="7">
        <v>0</v>
      </c>
      <c r="M350" s="7">
        <v>300</v>
      </c>
      <c r="N350" s="7">
        <f t="shared" si="47"/>
        <v>27960</v>
      </c>
      <c r="O350" s="7">
        <v>0</v>
      </c>
      <c r="P350" s="19">
        <f t="shared" si="48"/>
        <v>27960</v>
      </c>
      <c r="Q350" s="19">
        <v>0</v>
      </c>
    </row>
    <row r="351" spans="1:17" s="154" customFormat="1" ht="15" customHeight="1">
      <c r="A351" s="12"/>
      <c r="B351" s="23" t="s">
        <v>110</v>
      </c>
      <c r="C351" s="192" t="s">
        <v>500</v>
      </c>
      <c r="D351" s="7"/>
      <c r="E351" s="7"/>
      <c r="F351" s="7"/>
      <c r="G351" s="7"/>
      <c r="H351" s="7"/>
      <c r="I351" s="7"/>
      <c r="J351" s="7"/>
      <c r="K351" s="7">
        <v>1908</v>
      </c>
      <c r="L351" s="7">
        <v>0</v>
      </c>
      <c r="M351" s="7">
        <v>5</v>
      </c>
      <c r="N351" s="7">
        <f t="shared" si="47"/>
        <v>1903</v>
      </c>
      <c r="O351" s="7">
        <v>0</v>
      </c>
      <c r="P351" s="19">
        <f t="shared" si="48"/>
        <v>1903</v>
      </c>
      <c r="Q351" s="19">
        <v>0</v>
      </c>
    </row>
    <row r="352" spans="1:17" s="154" customFormat="1" ht="14.25" customHeight="1">
      <c r="A352" s="12"/>
      <c r="B352" s="23" t="s">
        <v>252</v>
      </c>
      <c r="C352" s="192" t="s">
        <v>253</v>
      </c>
      <c r="D352" s="7"/>
      <c r="E352" s="7">
        <v>2500</v>
      </c>
      <c r="F352" s="7">
        <v>0</v>
      </c>
      <c r="G352" s="7">
        <v>0</v>
      </c>
      <c r="H352" s="7">
        <v>500</v>
      </c>
      <c r="I352" s="7">
        <v>0</v>
      </c>
      <c r="J352" s="7">
        <v>0</v>
      </c>
      <c r="K352" s="7">
        <v>3420</v>
      </c>
      <c r="L352" s="7">
        <v>0</v>
      </c>
      <c r="M352" s="7">
        <v>334</v>
      </c>
      <c r="N352" s="7">
        <f t="shared" si="47"/>
        <v>3086</v>
      </c>
      <c r="O352" s="7">
        <v>0</v>
      </c>
      <c r="P352" s="19">
        <f t="shared" si="48"/>
        <v>3086</v>
      </c>
      <c r="Q352" s="19">
        <v>0</v>
      </c>
    </row>
    <row r="353" spans="1:17" s="154" customFormat="1" ht="14.25" customHeight="1">
      <c r="A353" s="12"/>
      <c r="B353" s="23" t="s">
        <v>254</v>
      </c>
      <c r="C353" s="192" t="s">
        <v>255</v>
      </c>
      <c r="D353" s="7"/>
      <c r="E353" s="7">
        <v>3300</v>
      </c>
      <c r="F353" s="7">
        <v>0</v>
      </c>
      <c r="G353" s="7">
        <v>0</v>
      </c>
      <c r="H353" s="7">
        <v>700</v>
      </c>
      <c r="I353" s="7">
        <v>0</v>
      </c>
      <c r="J353" s="7">
        <v>0</v>
      </c>
      <c r="K353" s="7">
        <v>600</v>
      </c>
      <c r="L353" s="7"/>
      <c r="M353" s="7">
        <v>0</v>
      </c>
      <c r="N353" s="7">
        <f t="shared" si="47"/>
        <v>600</v>
      </c>
      <c r="O353" s="7">
        <v>0</v>
      </c>
      <c r="P353" s="19">
        <f t="shared" si="48"/>
        <v>600</v>
      </c>
      <c r="Q353" s="19">
        <v>0</v>
      </c>
    </row>
    <row r="354" spans="1:17" s="154" customFormat="1" ht="12" customHeight="1">
      <c r="A354" s="12"/>
      <c r="B354" s="23" t="s">
        <v>256</v>
      </c>
      <c r="C354" s="192" t="s">
        <v>257</v>
      </c>
      <c r="D354" s="7"/>
      <c r="E354" s="7">
        <v>50719</v>
      </c>
      <c r="F354" s="7">
        <v>0</v>
      </c>
      <c r="G354" s="7">
        <v>0</v>
      </c>
      <c r="H354" s="7">
        <v>14000</v>
      </c>
      <c r="I354" s="7">
        <v>0</v>
      </c>
      <c r="J354" s="7">
        <v>0</v>
      </c>
      <c r="K354" s="7">
        <v>31130</v>
      </c>
      <c r="L354" s="7">
        <v>825</v>
      </c>
      <c r="M354" s="7"/>
      <c r="N354" s="7">
        <f t="shared" si="47"/>
        <v>31955</v>
      </c>
      <c r="O354" s="7">
        <v>0</v>
      </c>
      <c r="P354" s="19">
        <f t="shared" si="48"/>
        <v>31955</v>
      </c>
      <c r="Q354" s="19">
        <v>0</v>
      </c>
    </row>
    <row r="355" spans="1:17" s="154" customFormat="1" ht="15" customHeight="1">
      <c r="A355" s="12"/>
      <c r="B355" s="23" t="s">
        <v>415</v>
      </c>
      <c r="C355" s="209" t="s">
        <v>794</v>
      </c>
      <c r="D355" s="7"/>
      <c r="E355" s="7"/>
      <c r="F355" s="7"/>
      <c r="G355" s="7"/>
      <c r="H355" s="7"/>
      <c r="I355" s="7"/>
      <c r="J355" s="7"/>
      <c r="K355" s="7">
        <v>299475</v>
      </c>
      <c r="L355" s="7">
        <v>0</v>
      </c>
      <c r="M355" s="7">
        <v>18276</v>
      </c>
      <c r="N355" s="7">
        <f t="shared" si="47"/>
        <v>281199</v>
      </c>
      <c r="O355" s="7">
        <v>0</v>
      </c>
      <c r="P355" s="19">
        <v>0</v>
      </c>
      <c r="Q355" s="19">
        <f>N355</f>
        <v>281199</v>
      </c>
    </row>
    <row r="356" spans="1:17" s="154" customFormat="1" ht="15.75" customHeight="1">
      <c r="A356" s="167" t="s">
        <v>360</v>
      </c>
      <c r="B356" s="167"/>
      <c r="C356" s="168" t="s">
        <v>439</v>
      </c>
      <c r="D356" s="140">
        <f>D357+D358+D359+D360</f>
        <v>722000</v>
      </c>
      <c r="E356" s="140" t="e">
        <f>E357+E358+E359+E360+#REF!+E368+E361+E362+E363+E364+#REF!+E367+#REF!+E369+E370+E371</f>
        <v>#REF!</v>
      </c>
      <c r="F356" s="140" t="e">
        <f>F357+F358+F359+F360+#REF!+F368+F361+F362+F363+F364+#REF!+F367+#REF!+F369+F370+F371</f>
        <v>#REF!</v>
      </c>
      <c r="G356" s="140" t="e">
        <f>G357+G358+G359+G360+#REF!+G368+G361+G362+G363+G364+#REF!+G367+#REF!+G369+G370+G371</f>
        <v>#REF!</v>
      </c>
      <c r="H356" s="140" t="e">
        <f>H357+H358+H359+H360+#REF!+H368+H361+H362+H363+H364+H367+#REF!+H369+H370+H371+H372+H366</f>
        <v>#REF!</v>
      </c>
      <c r="I356" s="140" t="e">
        <f>I357+I358+I359+I360+#REF!+I368+I361+I362+I363+I364+I367+#REF!+I369+I370+I371+I372+I366</f>
        <v>#REF!</v>
      </c>
      <c r="J356" s="140" t="e">
        <f>J357+J358+J359+J360+#REF!+J368+J361+J362+J363+J364+J367+#REF!+J369+J370+J371+J372+J366</f>
        <v>#REF!</v>
      </c>
      <c r="K356" s="140">
        <f>SUM(K357:K373)</f>
        <v>1101588</v>
      </c>
      <c r="L356" s="140">
        <f>SUM(L357:L373)</f>
        <v>56001</v>
      </c>
      <c r="M356" s="140">
        <f>SUM(M357:M373)</f>
        <v>41156</v>
      </c>
      <c r="N356" s="140">
        <f t="shared" si="47"/>
        <v>1116433</v>
      </c>
      <c r="O356" s="140">
        <f>SUM(O357:O372)</f>
        <v>0</v>
      </c>
      <c r="P356" s="140">
        <f>SUM(P357:P373)</f>
        <v>1116433</v>
      </c>
      <c r="Q356" s="140">
        <f>SUM(Q357:Q372)</f>
        <v>0</v>
      </c>
    </row>
    <row r="357" spans="1:17" s="154" customFormat="1" ht="16.5" customHeight="1">
      <c r="A357" s="18"/>
      <c r="B357" s="23" t="s">
        <v>234</v>
      </c>
      <c r="C357" s="229" t="s">
        <v>235</v>
      </c>
      <c r="D357" s="7">
        <v>365300</v>
      </c>
      <c r="E357" s="7">
        <v>330000</v>
      </c>
      <c r="F357" s="7">
        <v>17400</v>
      </c>
      <c r="G357" s="7">
        <v>0</v>
      </c>
      <c r="H357" s="7">
        <v>350982</v>
      </c>
      <c r="I357" s="7">
        <v>0</v>
      </c>
      <c r="J357" s="7">
        <v>0</v>
      </c>
      <c r="K357" s="7">
        <v>368990</v>
      </c>
      <c r="L357" s="7">
        <v>0</v>
      </c>
      <c r="M357" s="7">
        <v>1800</v>
      </c>
      <c r="N357" s="7">
        <f t="shared" si="47"/>
        <v>367190</v>
      </c>
      <c r="O357" s="7">
        <v>0</v>
      </c>
      <c r="P357" s="19">
        <f>N357</f>
        <v>367190</v>
      </c>
      <c r="Q357" s="19">
        <v>0</v>
      </c>
    </row>
    <row r="358" spans="1:17" s="154" customFormat="1" ht="15.75" customHeight="1">
      <c r="A358" s="18"/>
      <c r="B358" s="23" t="s">
        <v>238</v>
      </c>
      <c r="C358" s="229" t="s">
        <v>239</v>
      </c>
      <c r="D358" s="7">
        <v>30580</v>
      </c>
      <c r="E358" s="7">
        <v>31050</v>
      </c>
      <c r="F358" s="7">
        <v>0</v>
      </c>
      <c r="G358" s="7">
        <v>0</v>
      </c>
      <c r="H358" s="7">
        <v>23796</v>
      </c>
      <c r="I358" s="7">
        <v>0</v>
      </c>
      <c r="J358" s="7">
        <v>0</v>
      </c>
      <c r="K358" s="7">
        <v>30088</v>
      </c>
      <c r="L358" s="7">
        <v>0</v>
      </c>
      <c r="M358" s="7">
        <v>0</v>
      </c>
      <c r="N358" s="7">
        <f t="shared" si="47"/>
        <v>30088</v>
      </c>
      <c r="O358" s="7">
        <v>0</v>
      </c>
      <c r="P358" s="19">
        <f aca="true" t="shared" si="49" ref="P358:P373">N358</f>
        <v>30088</v>
      </c>
      <c r="Q358" s="19">
        <v>0</v>
      </c>
    </row>
    <row r="359" spans="1:17" s="154" customFormat="1" ht="15" customHeight="1">
      <c r="A359" s="18"/>
      <c r="B359" s="20" t="s">
        <v>293</v>
      </c>
      <c r="C359" s="229" t="s">
        <v>307</v>
      </c>
      <c r="D359" s="7">
        <v>77860</v>
      </c>
      <c r="E359" s="7">
        <v>64495</v>
      </c>
      <c r="F359" s="7">
        <v>0</v>
      </c>
      <c r="G359" s="7">
        <v>0</v>
      </c>
      <c r="H359" s="7">
        <v>73896</v>
      </c>
      <c r="I359" s="7">
        <v>0</v>
      </c>
      <c r="J359" s="7">
        <v>0</v>
      </c>
      <c r="K359" s="7">
        <v>68809</v>
      </c>
      <c r="L359" s="7">
        <v>548</v>
      </c>
      <c r="M359" s="7">
        <v>0</v>
      </c>
      <c r="N359" s="7">
        <f t="shared" si="47"/>
        <v>69357</v>
      </c>
      <c r="O359" s="7">
        <v>0</v>
      </c>
      <c r="P359" s="19">
        <f t="shared" si="49"/>
        <v>69357</v>
      </c>
      <c r="Q359" s="19">
        <v>0</v>
      </c>
    </row>
    <row r="360" spans="1:17" s="154" customFormat="1" ht="15.75" customHeight="1">
      <c r="A360" s="18"/>
      <c r="B360" s="23" t="s">
        <v>242</v>
      </c>
      <c r="C360" s="192" t="s">
        <v>243</v>
      </c>
      <c r="D360" s="7">
        <v>248260</v>
      </c>
      <c r="E360" s="7">
        <v>8850</v>
      </c>
      <c r="F360" s="7">
        <v>0</v>
      </c>
      <c r="G360" s="7">
        <v>0</v>
      </c>
      <c r="H360" s="7">
        <v>9182</v>
      </c>
      <c r="I360" s="7">
        <v>0</v>
      </c>
      <c r="J360" s="7">
        <v>0</v>
      </c>
      <c r="K360" s="7">
        <v>9510</v>
      </c>
      <c r="L360" s="7">
        <v>587</v>
      </c>
      <c r="M360" s="7">
        <v>0</v>
      </c>
      <c r="N360" s="7">
        <f t="shared" si="47"/>
        <v>10097</v>
      </c>
      <c r="O360" s="7">
        <v>0</v>
      </c>
      <c r="P360" s="19">
        <f t="shared" si="49"/>
        <v>10097</v>
      </c>
      <c r="Q360" s="19">
        <v>0</v>
      </c>
    </row>
    <row r="361" spans="1:17" s="154" customFormat="1" ht="17.25" customHeight="1">
      <c r="A361" s="18"/>
      <c r="B361" s="23" t="s">
        <v>244</v>
      </c>
      <c r="C361" s="192" t="s">
        <v>396</v>
      </c>
      <c r="D361" s="7"/>
      <c r="E361" s="7">
        <v>6795</v>
      </c>
      <c r="F361" s="7">
        <v>474</v>
      </c>
      <c r="G361" s="7">
        <v>0</v>
      </c>
      <c r="H361" s="15">
        <v>21937</v>
      </c>
      <c r="I361" s="7">
        <v>0</v>
      </c>
      <c r="J361" s="7">
        <v>0</v>
      </c>
      <c r="K361" s="7">
        <v>190769</v>
      </c>
      <c r="L361" s="7"/>
      <c r="M361" s="7">
        <v>11133</v>
      </c>
      <c r="N361" s="7">
        <f t="shared" si="47"/>
        <v>179636</v>
      </c>
      <c r="O361" s="7">
        <v>0</v>
      </c>
      <c r="P361" s="19">
        <f t="shared" si="49"/>
        <v>179636</v>
      </c>
      <c r="Q361" s="19">
        <v>0</v>
      </c>
    </row>
    <row r="362" spans="1:17" s="154" customFormat="1" ht="15" customHeight="1">
      <c r="A362" s="18"/>
      <c r="B362" s="23" t="s">
        <v>346</v>
      </c>
      <c r="C362" s="192" t="s">
        <v>437</v>
      </c>
      <c r="D362" s="7"/>
      <c r="E362" s="7">
        <v>40000</v>
      </c>
      <c r="F362" s="7">
        <v>10000</v>
      </c>
      <c r="G362" s="7">
        <v>0</v>
      </c>
      <c r="H362" s="15">
        <v>76000</v>
      </c>
      <c r="I362" s="7">
        <v>0</v>
      </c>
      <c r="J362" s="7">
        <v>0</v>
      </c>
      <c r="K362" s="7">
        <v>2000</v>
      </c>
      <c r="L362" s="7">
        <v>0</v>
      </c>
      <c r="M362" s="7">
        <v>150</v>
      </c>
      <c r="N362" s="7">
        <f t="shared" si="47"/>
        <v>1850</v>
      </c>
      <c r="O362" s="7">
        <v>0</v>
      </c>
      <c r="P362" s="19">
        <f t="shared" si="49"/>
        <v>1850</v>
      </c>
      <c r="Q362" s="19">
        <v>0</v>
      </c>
    </row>
    <row r="363" spans="1:17" s="154" customFormat="1" ht="15" customHeight="1">
      <c r="A363" s="18"/>
      <c r="B363" s="23" t="s">
        <v>440</v>
      </c>
      <c r="C363" s="192" t="s">
        <v>441</v>
      </c>
      <c r="D363" s="7"/>
      <c r="E363" s="7">
        <v>4000</v>
      </c>
      <c r="F363" s="7">
        <v>0</v>
      </c>
      <c r="G363" s="7">
        <v>0</v>
      </c>
      <c r="H363" s="15">
        <v>5800</v>
      </c>
      <c r="I363" s="7">
        <v>0</v>
      </c>
      <c r="J363" s="7">
        <v>0</v>
      </c>
      <c r="K363" s="7">
        <v>10500</v>
      </c>
      <c r="L363" s="7">
        <v>0</v>
      </c>
      <c r="M363" s="7">
        <v>200</v>
      </c>
      <c r="N363" s="7">
        <f t="shared" si="47"/>
        <v>10300</v>
      </c>
      <c r="O363" s="7">
        <v>0</v>
      </c>
      <c r="P363" s="19">
        <f t="shared" si="49"/>
        <v>10300</v>
      </c>
      <c r="Q363" s="19">
        <v>0</v>
      </c>
    </row>
    <row r="364" spans="1:17" s="154" customFormat="1" ht="15" customHeight="1">
      <c r="A364" s="18"/>
      <c r="B364" s="23" t="s">
        <v>246</v>
      </c>
      <c r="C364" s="192" t="s">
        <v>350</v>
      </c>
      <c r="D364" s="7"/>
      <c r="E364" s="7">
        <v>62480</v>
      </c>
      <c r="F364" s="7">
        <v>4000</v>
      </c>
      <c r="G364" s="7">
        <v>0</v>
      </c>
      <c r="H364" s="15">
        <v>89314</v>
      </c>
      <c r="I364" s="7">
        <v>0</v>
      </c>
      <c r="J364" s="7">
        <v>0</v>
      </c>
      <c r="K364" s="7">
        <v>70000</v>
      </c>
      <c r="L364" s="7">
        <v>12793</v>
      </c>
      <c r="M364" s="7">
        <v>0</v>
      </c>
      <c r="N364" s="7">
        <f t="shared" si="47"/>
        <v>82793</v>
      </c>
      <c r="O364" s="7">
        <v>0</v>
      </c>
      <c r="P364" s="19">
        <f t="shared" si="49"/>
        <v>82793</v>
      </c>
      <c r="Q364" s="19">
        <v>0</v>
      </c>
    </row>
    <row r="365" spans="1:17" s="154" customFormat="1" ht="16.5" customHeight="1">
      <c r="A365" s="18"/>
      <c r="B365" s="23" t="s">
        <v>248</v>
      </c>
      <c r="C365" s="192" t="s">
        <v>351</v>
      </c>
      <c r="D365" s="7"/>
      <c r="E365" s="7"/>
      <c r="F365" s="7"/>
      <c r="G365" s="7"/>
      <c r="H365" s="15"/>
      <c r="I365" s="7"/>
      <c r="J365" s="7"/>
      <c r="K365" s="7">
        <v>52395</v>
      </c>
      <c r="L365" s="7">
        <v>0</v>
      </c>
      <c r="M365" s="7">
        <v>26983</v>
      </c>
      <c r="N365" s="7">
        <f t="shared" si="47"/>
        <v>25412</v>
      </c>
      <c r="O365" s="7"/>
      <c r="P365" s="19">
        <f t="shared" si="49"/>
        <v>25412</v>
      </c>
      <c r="Q365" s="19"/>
    </row>
    <row r="366" spans="1:17" s="154" customFormat="1" ht="15" customHeight="1">
      <c r="A366" s="18"/>
      <c r="B366" s="23" t="s">
        <v>110</v>
      </c>
      <c r="C366" s="192" t="s">
        <v>111</v>
      </c>
      <c r="D366" s="7"/>
      <c r="E366" s="7"/>
      <c r="F366" s="7"/>
      <c r="G366" s="7"/>
      <c r="H366" s="15">
        <v>7119</v>
      </c>
      <c r="I366" s="7">
        <v>0</v>
      </c>
      <c r="J366" s="7">
        <v>0</v>
      </c>
      <c r="K366" s="7">
        <v>800</v>
      </c>
      <c r="L366" s="7">
        <v>0</v>
      </c>
      <c r="M366" s="7">
        <v>47</v>
      </c>
      <c r="N366" s="7">
        <f t="shared" si="47"/>
        <v>753</v>
      </c>
      <c r="O366" s="7">
        <v>0</v>
      </c>
      <c r="P366" s="19">
        <f t="shared" si="49"/>
        <v>753</v>
      </c>
      <c r="Q366" s="19">
        <v>0</v>
      </c>
    </row>
    <row r="367" spans="1:17" s="154" customFormat="1" ht="15" customHeight="1">
      <c r="A367" s="18"/>
      <c r="B367" s="23" t="s">
        <v>250</v>
      </c>
      <c r="C367" s="192" t="s">
        <v>352</v>
      </c>
      <c r="D367" s="7"/>
      <c r="E367" s="7">
        <v>5000</v>
      </c>
      <c r="F367" s="7">
        <v>0</v>
      </c>
      <c r="G367" s="7">
        <v>0</v>
      </c>
      <c r="H367" s="15">
        <v>32500</v>
      </c>
      <c r="I367" s="7">
        <v>0</v>
      </c>
      <c r="J367" s="7">
        <v>0</v>
      </c>
      <c r="K367" s="7">
        <v>199000</v>
      </c>
      <c r="L367" s="7">
        <v>40300</v>
      </c>
      <c r="M367" s="7">
        <v>0</v>
      </c>
      <c r="N367" s="7">
        <f t="shared" si="47"/>
        <v>239300</v>
      </c>
      <c r="O367" s="7">
        <v>0</v>
      </c>
      <c r="P367" s="19">
        <f t="shared" si="49"/>
        <v>239300</v>
      </c>
      <c r="Q367" s="19">
        <v>0</v>
      </c>
    </row>
    <row r="368" spans="1:17" s="154" customFormat="1" ht="14.25" customHeight="1">
      <c r="A368" s="18"/>
      <c r="B368" s="23" t="s">
        <v>252</v>
      </c>
      <c r="C368" s="192" t="s">
        <v>253</v>
      </c>
      <c r="D368" s="7"/>
      <c r="E368" s="7">
        <v>1000</v>
      </c>
      <c r="F368" s="7">
        <v>0</v>
      </c>
      <c r="G368" s="7">
        <v>0</v>
      </c>
      <c r="H368" s="15">
        <v>1050</v>
      </c>
      <c r="I368" s="7">
        <v>0</v>
      </c>
      <c r="J368" s="7">
        <v>0</v>
      </c>
      <c r="K368" s="7">
        <v>800</v>
      </c>
      <c r="L368" s="7">
        <v>204</v>
      </c>
      <c r="M368" s="7">
        <v>0</v>
      </c>
      <c r="N368" s="7">
        <f t="shared" si="47"/>
        <v>1004</v>
      </c>
      <c r="O368" s="7">
        <v>0</v>
      </c>
      <c r="P368" s="19">
        <f t="shared" si="49"/>
        <v>1004</v>
      </c>
      <c r="Q368" s="19">
        <v>0</v>
      </c>
    </row>
    <row r="369" spans="1:17" s="154" customFormat="1" ht="14.25" customHeight="1">
      <c r="A369" s="18"/>
      <c r="B369" s="23" t="s">
        <v>256</v>
      </c>
      <c r="C369" s="192" t="s">
        <v>257</v>
      </c>
      <c r="D369" s="7"/>
      <c r="E369" s="7">
        <v>13110</v>
      </c>
      <c r="F369" s="7">
        <v>0</v>
      </c>
      <c r="G369" s="7">
        <v>0</v>
      </c>
      <c r="H369" s="7">
        <v>14000</v>
      </c>
      <c r="I369" s="7">
        <v>0</v>
      </c>
      <c r="J369" s="7">
        <v>0</v>
      </c>
      <c r="K369" s="7">
        <v>16941</v>
      </c>
      <c r="L369" s="7">
        <v>634</v>
      </c>
      <c r="M369" s="7">
        <v>0</v>
      </c>
      <c r="N369" s="7">
        <f t="shared" si="47"/>
        <v>17575</v>
      </c>
      <c r="O369" s="7">
        <v>0</v>
      </c>
      <c r="P369" s="19">
        <f t="shared" si="49"/>
        <v>17575</v>
      </c>
      <c r="Q369" s="19">
        <v>0</v>
      </c>
    </row>
    <row r="370" spans="1:17" s="154" customFormat="1" ht="14.25" customHeight="1">
      <c r="A370" s="18"/>
      <c r="B370" s="23" t="s">
        <v>272</v>
      </c>
      <c r="C370" s="192" t="s">
        <v>273</v>
      </c>
      <c r="D370" s="7"/>
      <c r="E370" s="7">
        <v>1000</v>
      </c>
      <c r="F370" s="7">
        <v>0</v>
      </c>
      <c r="G370" s="7">
        <v>60</v>
      </c>
      <c r="H370" s="7">
        <v>1896</v>
      </c>
      <c r="I370" s="7">
        <v>0</v>
      </c>
      <c r="J370" s="7">
        <v>0</v>
      </c>
      <c r="K370" s="7">
        <v>2372</v>
      </c>
      <c r="L370" s="7">
        <v>0</v>
      </c>
      <c r="M370" s="7">
        <v>0</v>
      </c>
      <c r="N370" s="7">
        <f t="shared" si="47"/>
        <v>2372</v>
      </c>
      <c r="O370" s="7">
        <v>0</v>
      </c>
      <c r="P370" s="19">
        <f t="shared" si="49"/>
        <v>2372</v>
      </c>
      <c r="Q370" s="19">
        <v>0</v>
      </c>
    </row>
    <row r="371" spans="1:17" s="154" customFormat="1" ht="15.75" customHeight="1">
      <c r="A371" s="18"/>
      <c r="B371" s="23" t="s">
        <v>355</v>
      </c>
      <c r="C371" s="192" t="s">
        <v>356</v>
      </c>
      <c r="D371" s="7"/>
      <c r="E371" s="7">
        <v>500</v>
      </c>
      <c r="F371" s="7">
        <v>0</v>
      </c>
      <c r="G371" s="7">
        <v>70</v>
      </c>
      <c r="H371" s="7">
        <v>427</v>
      </c>
      <c r="I371" s="7">
        <v>0</v>
      </c>
      <c r="J371" s="7">
        <v>0</v>
      </c>
      <c r="K371" s="7">
        <v>426</v>
      </c>
      <c r="L371" s="7">
        <v>0</v>
      </c>
      <c r="M371" s="7">
        <v>0</v>
      </c>
      <c r="N371" s="7">
        <f t="shared" si="47"/>
        <v>426</v>
      </c>
      <c r="O371" s="7">
        <v>0</v>
      </c>
      <c r="P371" s="19">
        <f t="shared" si="49"/>
        <v>426</v>
      </c>
      <c r="Q371" s="19">
        <v>0</v>
      </c>
    </row>
    <row r="372" spans="1:17" s="154" customFormat="1" ht="15.75" customHeight="1">
      <c r="A372" s="18"/>
      <c r="B372" s="23" t="s">
        <v>274</v>
      </c>
      <c r="C372" s="192" t="s">
        <v>164</v>
      </c>
      <c r="D372" s="7"/>
      <c r="E372" s="7"/>
      <c r="F372" s="7"/>
      <c r="G372" s="7"/>
      <c r="H372" s="7">
        <v>126026</v>
      </c>
      <c r="I372" s="7">
        <v>0</v>
      </c>
      <c r="J372" s="7">
        <v>0</v>
      </c>
      <c r="K372" s="7">
        <v>73188</v>
      </c>
      <c r="L372" s="7">
        <v>843</v>
      </c>
      <c r="M372" s="7">
        <v>843</v>
      </c>
      <c r="N372" s="7">
        <f t="shared" si="47"/>
        <v>73188</v>
      </c>
      <c r="O372" s="7">
        <v>0</v>
      </c>
      <c r="P372" s="19">
        <f t="shared" si="49"/>
        <v>73188</v>
      </c>
      <c r="Q372" s="19">
        <v>0</v>
      </c>
    </row>
    <row r="373" spans="1:17" s="154" customFormat="1" ht="16.5" customHeight="1">
      <c r="A373" s="18"/>
      <c r="B373" s="23" t="s">
        <v>276</v>
      </c>
      <c r="C373" s="192" t="s">
        <v>165</v>
      </c>
      <c r="D373" s="7"/>
      <c r="E373" s="7"/>
      <c r="F373" s="7"/>
      <c r="G373" s="7"/>
      <c r="H373" s="7"/>
      <c r="I373" s="7"/>
      <c r="J373" s="7"/>
      <c r="K373" s="7">
        <v>5000</v>
      </c>
      <c r="L373" s="7">
        <v>92</v>
      </c>
      <c r="M373" s="7">
        <v>0</v>
      </c>
      <c r="N373" s="7">
        <f t="shared" si="47"/>
        <v>5092</v>
      </c>
      <c r="O373" s="7"/>
      <c r="P373" s="19">
        <f t="shared" si="49"/>
        <v>5092</v>
      </c>
      <c r="Q373" s="19"/>
    </row>
    <row r="374" spans="1:17" s="154" customFormat="1" ht="18.75" customHeight="1">
      <c r="A374" s="342" t="s">
        <v>726</v>
      </c>
      <c r="B374" s="236"/>
      <c r="C374" s="450" t="s">
        <v>725</v>
      </c>
      <c r="D374" s="236"/>
      <c r="E374" s="236"/>
      <c r="F374" s="236"/>
      <c r="G374" s="236"/>
      <c r="H374" s="236"/>
      <c r="I374" s="236"/>
      <c r="J374" s="236"/>
      <c r="K374" s="515">
        <f>K375+K376+K377+K378+K379+K380</f>
        <v>235666</v>
      </c>
      <c r="L374" s="515">
        <f>L375+L376+L377+L378+L379+L380</f>
        <v>7231</v>
      </c>
      <c r="M374" s="515">
        <f>M375+M376+M377+M378+M379+M380</f>
        <v>7231</v>
      </c>
      <c r="N374" s="479">
        <f>N375+N376+N377+N378+N379+N380</f>
        <v>235666</v>
      </c>
      <c r="O374" s="515">
        <f aca="true" t="shared" si="50" ref="O374:O380">N374</f>
        <v>235666</v>
      </c>
      <c r="P374" s="342"/>
      <c r="Q374" s="342"/>
    </row>
    <row r="375" spans="1:17" s="154" customFormat="1" ht="15.75" customHeight="1">
      <c r="A375" s="514"/>
      <c r="B375" s="347" t="s">
        <v>234</v>
      </c>
      <c r="C375" s="229" t="s">
        <v>235</v>
      </c>
      <c r="D375" s="339"/>
      <c r="E375" s="339"/>
      <c r="F375" s="339"/>
      <c r="G375" s="339"/>
      <c r="H375" s="339"/>
      <c r="I375" s="339"/>
      <c r="J375" s="339"/>
      <c r="K375" s="402">
        <v>6000</v>
      </c>
      <c r="L375" s="394" t="s">
        <v>727</v>
      </c>
      <c r="M375" s="394" t="s">
        <v>800</v>
      </c>
      <c r="N375" s="395">
        <f aca="true" t="shared" si="51" ref="N375:N380">K375+L375-M375</f>
        <v>0</v>
      </c>
      <c r="O375" s="395">
        <f t="shared" si="50"/>
        <v>0</v>
      </c>
      <c r="P375" s="514"/>
      <c r="Q375" s="514"/>
    </row>
    <row r="376" spans="1:17" s="154" customFormat="1" ht="15" customHeight="1">
      <c r="A376" s="514"/>
      <c r="B376" s="347" t="s">
        <v>267</v>
      </c>
      <c r="C376" s="192" t="s">
        <v>243</v>
      </c>
      <c r="D376" s="339"/>
      <c r="E376" s="339"/>
      <c r="F376" s="339"/>
      <c r="G376" s="339"/>
      <c r="H376" s="339"/>
      <c r="I376" s="339"/>
      <c r="J376" s="339"/>
      <c r="K376" s="402">
        <v>1084</v>
      </c>
      <c r="L376" s="394" t="s">
        <v>727</v>
      </c>
      <c r="M376" s="394" t="s">
        <v>801</v>
      </c>
      <c r="N376" s="395">
        <f t="shared" si="51"/>
        <v>0</v>
      </c>
      <c r="O376" s="395">
        <f t="shared" si="50"/>
        <v>0</v>
      </c>
      <c r="P376" s="514"/>
      <c r="Q376" s="514"/>
    </row>
    <row r="377" spans="1:17" s="154" customFormat="1" ht="17.25" customHeight="1">
      <c r="A377" s="514"/>
      <c r="B377" s="347" t="s">
        <v>242</v>
      </c>
      <c r="C377" s="192" t="s">
        <v>243</v>
      </c>
      <c r="D377" s="339"/>
      <c r="E377" s="339"/>
      <c r="F377" s="339"/>
      <c r="G377" s="339"/>
      <c r="H377" s="339"/>
      <c r="I377" s="339"/>
      <c r="J377" s="339"/>
      <c r="K377" s="402">
        <v>147</v>
      </c>
      <c r="L377" s="394" t="s">
        <v>727</v>
      </c>
      <c r="M377" s="394" t="s">
        <v>802</v>
      </c>
      <c r="N377" s="395">
        <f t="shared" si="51"/>
        <v>0</v>
      </c>
      <c r="O377" s="395">
        <f t="shared" si="50"/>
        <v>0</v>
      </c>
      <c r="P377" s="514"/>
      <c r="Q377" s="514"/>
    </row>
    <row r="378" spans="1:17" s="154" customFormat="1" ht="15.75" customHeight="1">
      <c r="A378" s="18"/>
      <c r="B378" s="23" t="s">
        <v>244</v>
      </c>
      <c r="C378" s="229" t="s">
        <v>245</v>
      </c>
      <c r="D378" s="7"/>
      <c r="E378" s="7"/>
      <c r="F378" s="7"/>
      <c r="G378" s="7"/>
      <c r="H378" s="7"/>
      <c r="I378" s="7"/>
      <c r="J378" s="7"/>
      <c r="K378" s="7">
        <v>171435</v>
      </c>
      <c r="L378" s="394" t="s">
        <v>803</v>
      </c>
      <c r="M378" s="7"/>
      <c r="N378" s="7">
        <f t="shared" si="51"/>
        <v>178666</v>
      </c>
      <c r="O378" s="7">
        <f t="shared" si="50"/>
        <v>178666</v>
      </c>
      <c r="P378" s="19"/>
      <c r="Q378" s="19"/>
    </row>
    <row r="379" spans="1:17" s="154" customFormat="1" ht="15.75" customHeight="1">
      <c r="A379" s="18"/>
      <c r="B379" s="23" t="s">
        <v>248</v>
      </c>
      <c r="C379" s="192" t="s">
        <v>350</v>
      </c>
      <c r="D379" s="7"/>
      <c r="E379" s="7"/>
      <c r="F379" s="7"/>
      <c r="G379" s="7"/>
      <c r="H379" s="7"/>
      <c r="I379" s="7"/>
      <c r="J379" s="7"/>
      <c r="K379" s="7">
        <v>55000</v>
      </c>
      <c r="L379" s="394" t="s">
        <v>727</v>
      </c>
      <c r="M379" s="7"/>
      <c r="N379" s="7">
        <f t="shared" si="51"/>
        <v>55000</v>
      </c>
      <c r="O379" s="7">
        <f t="shared" si="50"/>
        <v>55000</v>
      </c>
      <c r="P379" s="19"/>
      <c r="Q379" s="19"/>
    </row>
    <row r="380" spans="1:17" s="154" customFormat="1" ht="15.75" customHeight="1">
      <c r="A380" s="18"/>
      <c r="B380" s="23" t="s">
        <v>250</v>
      </c>
      <c r="C380" s="192" t="s">
        <v>352</v>
      </c>
      <c r="D380" s="7"/>
      <c r="E380" s="7"/>
      <c r="F380" s="7"/>
      <c r="G380" s="7"/>
      <c r="H380" s="7"/>
      <c r="I380" s="7"/>
      <c r="J380" s="7"/>
      <c r="K380" s="7">
        <v>2000</v>
      </c>
      <c r="L380" s="394" t="s">
        <v>727</v>
      </c>
      <c r="M380" s="7"/>
      <c r="N380" s="7">
        <f t="shared" si="51"/>
        <v>2000</v>
      </c>
      <c r="O380" s="7">
        <f t="shared" si="50"/>
        <v>2000</v>
      </c>
      <c r="P380" s="19"/>
      <c r="Q380" s="19"/>
    </row>
    <row r="381" spans="1:17" s="154" customFormat="1" ht="18.75" customHeight="1">
      <c r="A381" s="169" t="s">
        <v>365</v>
      </c>
      <c r="B381" s="234"/>
      <c r="C381" s="168" t="s">
        <v>442</v>
      </c>
      <c r="D381" s="140">
        <f>D384</f>
        <v>1308000</v>
      </c>
      <c r="E381" s="140">
        <f>E384</f>
        <v>1138000</v>
      </c>
      <c r="F381" s="140">
        <f>F384</f>
        <v>0</v>
      </c>
      <c r="G381" s="140">
        <f>G384</f>
        <v>0</v>
      </c>
      <c r="H381" s="140">
        <f>H384+H388</f>
        <v>744716</v>
      </c>
      <c r="I381" s="140">
        <f>I384+I388</f>
        <v>0</v>
      </c>
      <c r="J381" s="140">
        <f>J384+J388</f>
        <v>0</v>
      </c>
      <c r="K381" s="140">
        <f>K382+K383+K384+K385+K386+K387+K388+K389</f>
        <v>1015928</v>
      </c>
      <c r="L381" s="140">
        <f>L382+L383+L384+L385+L386+L387+L388+L389</f>
        <v>13829</v>
      </c>
      <c r="M381" s="140">
        <f>M382+M383+M384+M385+M386+M387+M388+M389</f>
        <v>10707</v>
      </c>
      <c r="N381" s="140">
        <f t="shared" si="47"/>
        <v>1019050</v>
      </c>
      <c r="O381" s="140">
        <f>O382+O383+O384+O385+O386+O387+O388+O389</f>
        <v>30000</v>
      </c>
      <c r="P381" s="140">
        <f>P382+P383+P384+P385+P386+P387+P388</f>
        <v>956637</v>
      </c>
      <c r="Q381" s="140">
        <f>Q382+Q383+Q384+Q388</f>
        <v>32413</v>
      </c>
    </row>
    <row r="382" spans="1:17" s="154" customFormat="1" ht="12" customHeight="1">
      <c r="A382" s="21"/>
      <c r="B382" s="23" t="s">
        <v>299</v>
      </c>
      <c r="C382" s="229" t="s">
        <v>643</v>
      </c>
      <c r="D382" s="6"/>
      <c r="E382" s="6"/>
      <c r="F382" s="6"/>
      <c r="G382" s="6"/>
      <c r="H382" s="6"/>
      <c r="I382" s="6"/>
      <c r="J382" s="6"/>
      <c r="K382" s="15">
        <v>14324</v>
      </c>
      <c r="L382" s="15">
        <v>0</v>
      </c>
      <c r="M382" s="15">
        <v>2150</v>
      </c>
      <c r="N382" s="7">
        <f t="shared" si="47"/>
        <v>12174</v>
      </c>
      <c r="O382" s="15">
        <v>0</v>
      </c>
      <c r="P382" s="15">
        <v>0</v>
      </c>
      <c r="Q382" s="15">
        <f>N382</f>
        <v>12174</v>
      </c>
    </row>
    <row r="383" spans="1:17" s="154" customFormat="1" ht="12.75" customHeight="1">
      <c r="A383" s="21"/>
      <c r="B383" s="23" t="s">
        <v>415</v>
      </c>
      <c r="C383" s="229" t="s">
        <v>644</v>
      </c>
      <c r="D383" s="6"/>
      <c r="E383" s="6"/>
      <c r="F383" s="6"/>
      <c r="G383" s="6"/>
      <c r="H383" s="6"/>
      <c r="I383" s="6"/>
      <c r="J383" s="6"/>
      <c r="K383" s="15">
        <v>19366</v>
      </c>
      <c r="L383" s="15">
        <v>873</v>
      </c>
      <c r="M383" s="6"/>
      <c r="N383" s="7">
        <f t="shared" si="47"/>
        <v>20239</v>
      </c>
      <c r="O383" s="15">
        <v>0</v>
      </c>
      <c r="P383" s="15">
        <v>0</v>
      </c>
      <c r="Q383" s="15">
        <f>N383</f>
        <v>20239</v>
      </c>
    </row>
    <row r="384" spans="1:17" s="154" customFormat="1" ht="14.25" customHeight="1">
      <c r="A384" s="21"/>
      <c r="B384" s="23" t="s">
        <v>435</v>
      </c>
      <c r="C384" s="192" t="s">
        <v>436</v>
      </c>
      <c r="D384" s="15">
        <v>1308000</v>
      </c>
      <c r="E384" s="15">
        <v>1138000</v>
      </c>
      <c r="F384" s="15">
        <v>0</v>
      </c>
      <c r="G384" s="15">
        <v>0</v>
      </c>
      <c r="H384" s="7">
        <v>728506</v>
      </c>
      <c r="I384" s="7">
        <v>0</v>
      </c>
      <c r="J384" s="7">
        <v>0</v>
      </c>
      <c r="K384" s="7">
        <v>930650</v>
      </c>
      <c r="L384" s="7">
        <v>4399</v>
      </c>
      <c r="M384" s="7">
        <v>0</v>
      </c>
      <c r="N384" s="7">
        <f t="shared" si="47"/>
        <v>935049</v>
      </c>
      <c r="O384" s="15">
        <v>0</v>
      </c>
      <c r="P384" s="16">
        <f>N384</f>
        <v>935049</v>
      </c>
      <c r="Q384" s="16">
        <v>0</v>
      </c>
    </row>
    <row r="385" spans="1:17" s="154" customFormat="1" ht="14.25" customHeight="1">
      <c r="A385" s="21"/>
      <c r="B385" s="23" t="s">
        <v>97</v>
      </c>
      <c r="C385" s="192" t="s">
        <v>109</v>
      </c>
      <c r="D385" s="15"/>
      <c r="E385" s="15"/>
      <c r="F385" s="15"/>
      <c r="G385" s="15"/>
      <c r="H385" s="7"/>
      <c r="I385" s="7"/>
      <c r="J385" s="7"/>
      <c r="K385" s="7">
        <v>9530</v>
      </c>
      <c r="L385" s="7">
        <v>0</v>
      </c>
      <c r="M385" s="7">
        <v>4201</v>
      </c>
      <c r="N385" s="7">
        <f t="shared" si="47"/>
        <v>5329</v>
      </c>
      <c r="O385" s="15">
        <f>N385-P385</f>
        <v>800</v>
      </c>
      <c r="P385" s="16">
        <v>4529</v>
      </c>
      <c r="Q385" s="16">
        <v>0</v>
      </c>
    </row>
    <row r="386" spans="1:17" s="154" customFormat="1" ht="14.25" customHeight="1">
      <c r="A386" s="21"/>
      <c r="B386" s="23" t="s">
        <v>267</v>
      </c>
      <c r="C386" s="229" t="s">
        <v>307</v>
      </c>
      <c r="D386" s="15"/>
      <c r="E386" s="15"/>
      <c r="F386" s="15"/>
      <c r="G386" s="15"/>
      <c r="H386" s="7"/>
      <c r="I386" s="7"/>
      <c r="J386" s="7"/>
      <c r="K386" s="7">
        <v>2237</v>
      </c>
      <c r="L386" s="7">
        <v>0</v>
      </c>
      <c r="M386" s="7">
        <v>1356</v>
      </c>
      <c r="N386" s="7">
        <f t="shared" si="47"/>
        <v>881</v>
      </c>
      <c r="O386" s="15">
        <f>N386-P386</f>
        <v>144</v>
      </c>
      <c r="P386" s="16">
        <v>737</v>
      </c>
      <c r="Q386" s="16">
        <v>0</v>
      </c>
    </row>
    <row r="387" spans="1:17" s="154" customFormat="1" ht="14.25" customHeight="1">
      <c r="A387" s="21"/>
      <c r="B387" s="23" t="s">
        <v>242</v>
      </c>
      <c r="C387" s="192" t="s">
        <v>243</v>
      </c>
      <c r="D387" s="15"/>
      <c r="E387" s="15"/>
      <c r="F387" s="15"/>
      <c r="G387" s="15"/>
      <c r="H387" s="7"/>
      <c r="I387" s="7"/>
      <c r="J387" s="7"/>
      <c r="K387" s="7">
        <v>111</v>
      </c>
      <c r="L387" s="7">
        <v>20</v>
      </c>
      <c r="M387" s="7"/>
      <c r="N387" s="7">
        <f t="shared" si="47"/>
        <v>131</v>
      </c>
      <c r="O387" s="15">
        <f>N387-P387</f>
        <v>20</v>
      </c>
      <c r="P387" s="16">
        <v>111</v>
      </c>
      <c r="Q387" s="16">
        <v>0</v>
      </c>
    </row>
    <row r="388" spans="1:17" s="154" customFormat="1" ht="14.25" customHeight="1">
      <c r="A388" s="21"/>
      <c r="B388" s="23" t="s">
        <v>244</v>
      </c>
      <c r="C388" s="229" t="s">
        <v>245</v>
      </c>
      <c r="D388" s="15"/>
      <c r="E388" s="15"/>
      <c r="F388" s="15"/>
      <c r="G388" s="15"/>
      <c r="H388" s="7">
        <v>16210</v>
      </c>
      <c r="I388" s="7">
        <v>0</v>
      </c>
      <c r="J388" s="7">
        <v>0</v>
      </c>
      <c r="K388" s="7">
        <v>36710</v>
      </c>
      <c r="L388" s="7">
        <v>8537</v>
      </c>
      <c r="M388" s="7"/>
      <c r="N388" s="7">
        <f t="shared" si="47"/>
        <v>45247</v>
      </c>
      <c r="O388" s="15">
        <f>N388-P388</f>
        <v>29036</v>
      </c>
      <c r="P388" s="16">
        <v>16211</v>
      </c>
      <c r="Q388" s="16">
        <v>0</v>
      </c>
    </row>
    <row r="389" spans="1:17" s="154" customFormat="1" ht="15" customHeight="1">
      <c r="A389" s="21"/>
      <c r="B389" s="23" t="s">
        <v>246</v>
      </c>
      <c r="C389" s="192" t="s">
        <v>350</v>
      </c>
      <c r="D389" s="15"/>
      <c r="E389" s="15"/>
      <c r="F389" s="15"/>
      <c r="G389" s="15"/>
      <c r="H389" s="7"/>
      <c r="I389" s="7"/>
      <c r="J389" s="7"/>
      <c r="K389" s="7">
        <v>3000</v>
      </c>
      <c r="L389" s="7">
        <v>0</v>
      </c>
      <c r="M389" s="7">
        <v>3000</v>
      </c>
      <c r="N389" s="7">
        <f t="shared" si="47"/>
        <v>0</v>
      </c>
      <c r="O389" s="15"/>
      <c r="P389" s="16">
        <f>N389-O389</f>
        <v>0</v>
      </c>
      <c r="Q389" s="16">
        <v>0</v>
      </c>
    </row>
    <row r="390" spans="1:17" s="154" customFormat="1" ht="24.75" customHeight="1">
      <c r="A390" s="169" t="s">
        <v>361</v>
      </c>
      <c r="B390" s="234"/>
      <c r="C390" s="168" t="s">
        <v>443</v>
      </c>
      <c r="D390" s="140" t="e">
        <f>D391+D392+D393+#REF!</f>
        <v>#REF!</v>
      </c>
      <c r="E390" s="140" t="e">
        <f>E391+E392+E393+E394+#REF!+E396+E397+E398+E400+E402</f>
        <v>#REF!</v>
      </c>
      <c r="F390" s="140" t="e">
        <f>F391+F392+F393+F394+#REF!+F396+F397+F398+F400+F402</f>
        <v>#REF!</v>
      </c>
      <c r="G390" s="140" t="e">
        <f>G391+G392+G393+G394+#REF!+G396+G397+G398+G400+G402</f>
        <v>#REF!</v>
      </c>
      <c r="H390" s="140">
        <f>H391+H392+H393+H394+H396+H397+H398+H400+H402</f>
        <v>132083</v>
      </c>
      <c r="I390" s="140">
        <f>I391+I392+I393+I394+I396+I397+I398+I400+I402</f>
        <v>0</v>
      </c>
      <c r="J390" s="140">
        <f>J391+J392+J393+J394+J396+J397+J398+J400+J402</f>
        <v>0</v>
      </c>
      <c r="K390" s="140">
        <f>K391+K392+K393+K394+K395+K396+K397+K398+K399+K400+K401+K402</f>
        <v>200622</v>
      </c>
      <c r="L390" s="140">
        <f>L391+L392+L393+L394+L395+L396+L397+L398+L399+L400+L401+L402</f>
        <v>9378</v>
      </c>
      <c r="M390" s="140">
        <f>M391+M392+M393+M394+M395+M396+M397+M398+M399+M400+M401+M402</f>
        <v>7582</v>
      </c>
      <c r="N390" s="140">
        <f t="shared" si="47"/>
        <v>202418</v>
      </c>
      <c r="O390" s="140">
        <f>O391+O392+O393+O394+O395+O396+O397+O398+O399+O400+O401+O402</f>
        <v>3000</v>
      </c>
      <c r="P390" s="138">
        <f>P391+P392+P393+P394+P395+P396+P397+P398+P399+P400+P401+P402</f>
        <v>199418</v>
      </c>
      <c r="Q390" s="138">
        <f>Q391+Q392+Q393+Q394+Q395+Q396+Q397+Q398+Q399+Q400+Q401+Q402</f>
        <v>0</v>
      </c>
    </row>
    <row r="391" spans="1:17" s="154" customFormat="1" ht="14.25" customHeight="1">
      <c r="A391" s="655"/>
      <c r="B391" s="23" t="s">
        <v>234</v>
      </c>
      <c r="C391" s="229" t="s">
        <v>235</v>
      </c>
      <c r="D391" s="7">
        <v>85744</v>
      </c>
      <c r="E391" s="7">
        <v>121480</v>
      </c>
      <c r="F391" s="7">
        <v>0</v>
      </c>
      <c r="G391" s="7">
        <v>2671</v>
      </c>
      <c r="H391" s="7">
        <v>72999</v>
      </c>
      <c r="I391" s="7">
        <v>0</v>
      </c>
      <c r="J391" s="7">
        <v>0</v>
      </c>
      <c r="K391" s="7">
        <v>122775</v>
      </c>
      <c r="L391" s="7">
        <v>0</v>
      </c>
      <c r="M391" s="7">
        <v>3662</v>
      </c>
      <c r="N391" s="7">
        <f t="shared" si="47"/>
        <v>119113</v>
      </c>
      <c r="O391" s="7">
        <v>0</v>
      </c>
      <c r="P391" s="19">
        <f>N391-O391</f>
        <v>119113</v>
      </c>
      <c r="Q391" s="19">
        <v>0</v>
      </c>
    </row>
    <row r="392" spans="1:17" s="154" customFormat="1" ht="12" customHeight="1">
      <c r="A392" s="655"/>
      <c r="B392" s="13" t="s">
        <v>238</v>
      </c>
      <c r="C392" s="229" t="s">
        <v>239</v>
      </c>
      <c r="D392" s="7">
        <v>4800</v>
      </c>
      <c r="E392" s="7">
        <v>6578</v>
      </c>
      <c r="F392" s="7">
        <v>0</v>
      </c>
      <c r="G392" s="7">
        <v>0</v>
      </c>
      <c r="H392" s="15">
        <v>5710</v>
      </c>
      <c r="I392" s="7">
        <v>0</v>
      </c>
      <c r="J392" s="7">
        <v>0</v>
      </c>
      <c r="K392" s="7">
        <v>13837</v>
      </c>
      <c r="L392" s="7">
        <v>0</v>
      </c>
      <c r="M392" s="7">
        <v>0</v>
      </c>
      <c r="N392" s="7">
        <f t="shared" si="47"/>
        <v>13837</v>
      </c>
      <c r="O392" s="7">
        <v>0</v>
      </c>
      <c r="P392" s="19">
        <f aca="true" t="shared" si="52" ref="P392:P402">N392-O392</f>
        <v>13837</v>
      </c>
      <c r="Q392" s="19">
        <v>0</v>
      </c>
    </row>
    <row r="393" spans="1:17" s="154" customFormat="1" ht="13.5" customHeight="1">
      <c r="A393" s="655"/>
      <c r="B393" s="20" t="s">
        <v>293</v>
      </c>
      <c r="C393" s="229" t="s">
        <v>268</v>
      </c>
      <c r="D393" s="7">
        <v>18394</v>
      </c>
      <c r="E393" s="7">
        <v>22179</v>
      </c>
      <c r="F393" s="7">
        <v>0</v>
      </c>
      <c r="G393" s="7">
        <v>0</v>
      </c>
      <c r="H393" s="15">
        <v>14515</v>
      </c>
      <c r="I393" s="7">
        <v>0</v>
      </c>
      <c r="J393" s="7">
        <v>0</v>
      </c>
      <c r="K393" s="7">
        <v>23462</v>
      </c>
      <c r="L393" s="7">
        <v>0</v>
      </c>
      <c r="M393" s="7">
        <v>616</v>
      </c>
      <c r="N393" s="7">
        <f t="shared" si="47"/>
        <v>22846</v>
      </c>
      <c r="O393" s="7">
        <v>0</v>
      </c>
      <c r="P393" s="19">
        <f t="shared" si="52"/>
        <v>22846</v>
      </c>
      <c r="Q393" s="19">
        <v>0</v>
      </c>
    </row>
    <row r="394" spans="1:17" s="154" customFormat="1" ht="12.75" customHeight="1">
      <c r="A394" s="655"/>
      <c r="B394" s="20" t="s">
        <v>242</v>
      </c>
      <c r="C394" s="229" t="s">
        <v>243</v>
      </c>
      <c r="D394" s="7"/>
      <c r="E394" s="7">
        <v>3039</v>
      </c>
      <c r="F394" s="7">
        <v>0</v>
      </c>
      <c r="G394" s="7">
        <v>0</v>
      </c>
      <c r="H394" s="15">
        <v>1927</v>
      </c>
      <c r="I394" s="7">
        <v>0</v>
      </c>
      <c r="J394" s="7">
        <v>0</v>
      </c>
      <c r="K394" s="7">
        <v>4057</v>
      </c>
      <c r="L394" s="7">
        <v>554</v>
      </c>
      <c r="M394" s="7">
        <v>0</v>
      </c>
      <c r="N394" s="7">
        <f t="shared" si="47"/>
        <v>4611</v>
      </c>
      <c r="O394" s="7">
        <v>0</v>
      </c>
      <c r="P394" s="19">
        <f t="shared" si="52"/>
        <v>4611</v>
      </c>
      <c r="Q394" s="19">
        <v>0</v>
      </c>
    </row>
    <row r="395" spans="1:17" s="154" customFormat="1" ht="15" customHeight="1">
      <c r="A395" s="18"/>
      <c r="B395" s="23" t="s">
        <v>97</v>
      </c>
      <c r="C395" s="192" t="s">
        <v>109</v>
      </c>
      <c r="D395" s="7"/>
      <c r="E395" s="7"/>
      <c r="F395" s="7"/>
      <c r="G395" s="7"/>
      <c r="H395" s="15"/>
      <c r="I395" s="7"/>
      <c r="J395" s="7"/>
      <c r="K395" s="7">
        <v>0</v>
      </c>
      <c r="L395" s="7">
        <v>120</v>
      </c>
      <c r="M395" s="7">
        <v>0</v>
      </c>
      <c r="N395" s="7">
        <f t="shared" si="47"/>
        <v>120</v>
      </c>
      <c r="O395" s="7">
        <v>0</v>
      </c>
      <c r="P395" s="19">
        <f t="shared" si="52"/>
        <v>120</v>
      </c>
      <c r="Q395" s="19">
        <v>0</v>
      </c>
    </row>
    <row r="396" spans="1:17" s="154" customFormat="1" ht="14.25" customHeight="1">
      <c r="A396" s="18"/>
      <c r="B396" s="23" t="s">
        <v>244</v>
      </c>
      <c r="C396" s="192" t="s">
        <v>396</v>
      </c>
      <c r="D396" s="7"/>
      <c r="E396" s="7">
        <v>5070</v>
      </c>
      <c r="F396" s="7">
        <v>500</v>
      </c>
      <c r="G396" s="7">
        <v>0</v>
      </c>
      <c r="H396" s="15">
        <v>7461</v>
      </c>
      <c r="I396" s="7">
        <v>0</v>
      </c>
      <c r="J396" s="7">
        <v>0</v>
      </c>
      <c r="K396" s="7">
        <v>9010</v>
      </c>
      <c r="L396" s="7">
        <v>6908</v>
      </c>
      <c r="M396" s="7">
        <v>0</v>
      </c>
      <c r="N396" s="7">
        <f t="shared" si="47"/>
        <v>15918</v>
      </c>
      <c r="O396" s="7">
        <v>0</v>
      </c>
      <c r="P396" s="19">
        <f t="shared" si="52"/>
        <v>15918</v>
      </c>
      <c r="Q396" s="19">
        <v>0</v>
      </c>
    </row>
    <row r="397" spans="1:17" s="154" customFormat="1" ht="15" customHeight="1">
      <c r="A397" s="18"/>
      <c r="B397" s="23" t="s">
        <v>246</v>
      </c>
      <c r="C397" s="192" t="s">
        <v>350</v>
      </c>
      <c r="D397" s="7"/>
      <c r="E397" s="7">
        <v>3015</v>
      </c>
      <c r="F397" s="7">
        <v>500</v>
      </c>
      <c r="G397" s="7">
        <v>0</v>
      </c>
      <c r="H397" s="15">
        <v>6000</v>
      </c>
      <c r="I397" s="7">
        <v>0</v>
      </c>
      <c r="J397" s="7">
        <v>0</v>
      </c>
      <c r="K397" s="7">
        <v>8760</v>
      </c>
      <c r="L397" s="7">
        <v>0</v>
      </c>
      <c r="M397" s="7">
        <v>397</v>
      </c>
      <c r="N397" s="7">
        <f aca="true" t="shared" si="53" ref="N397:N484">K397+L397-M397</f>
        <v>8363</v>
      </c>
      <c r="O397" s="7">
        <v>0</v>
      </c>
      <c r="P397" s="19">
        <f t="shared" si="52"/>
        <v>8363</v>
      </c>
      <c r="Q397" s="19">
        <v>0</v>
      </c>
    </row>
    <row r="398" spans="1:17" s="154" customFormat="1" ht="15" customHeight="1">
      <c r="A398" s="18"/>
      <c r="B398" s="23" t="s">
        <v>250</v>
      </c>
      <c r="C398" s="192" t="s">
        <v>352</v>
      </c>
      <c r="D398" s="7"/>
      <c r="E398" s="7">
        <v>19008</v>
      </c>
      <c r="F398" s="7">
        <v>2043</v>
      </c>
      <c r="G398" s="7">
        <v>0</v>
      </c>
      <c r="H398" s="7">
        <v>19291</v>
      </c>
      <c r="I398" s="7">
        <v>0</v>
      </c>
      <c r="J398" s="7">
        <v>0</v>
      </c>
      <c r="K398" s="7">
        <v>10432</v>
      </c>
      <c r="L398" s="7">
        <v>0</v>
      </c>
      <c r="M398" s="7">
        <v>2742</v>
      </c>
      <c r="N398" s="7">
        <f t="shared" si="53"/>
        <v>7690</v>
      </c>
      <c r="O398" s="7">
        <v>3000</v>
      </c>
      <c r="P398" s="19">
        <f t="shared" si="52"/>
        <v>4690</v>
      </c>
      <c r="Q398" s="19">
        <v>0</v>
      </c>
    </row>
    <row r="399" spans="1:17" s="154" customFormat="1" ht="14.25" customHeight="1">
      <c r="A399" s="18"/>
      <c r="B399" s="23" t="s">
        <v>110</v>
      </c>
      <c r="C399" s="192" t="s">
        <v>111</v>
      </c>
      <c r="D399" s="7"/>
      <c r="E399" s="7"/>
      <c r="F399" s="7"/>
      <c r="G399" s="7"/>
      <c r="H399" s="7"/>
      <c r="I399" s="7"/>
      <c r="J399" s="7"/>
      <c r="K399" s="7">
        <v>549</v>
      </c>
      <c r="L399" s="7">
        <v>0</v>
      </c>
      <c r="M399" s="7">
        <v>45</v>
      </c>
      <c r="N399" s="7">
        <f t="shared" si="53"/>
        <v>504</v>
      </c>
      <c r="O399" s="7">
        <v>0</v>
      </c>
      <c r="P399" s="19">
        <f t="shared" si="52"/>
        <v>504</v>
      </c>
      <c r="Q399" s="19">
        <v>0</v>
      </c>
    </row>
    <row r="400" spans="1:17" s="154" customFormat="1" ht="13.5" customHeight="1">
      <c r="A400" s="18"/>
      <c r="B400" s="23" t="s">
        <v>252</v>
      </c>
      <c r="C400" s="192" t="s">
        <v>253</v>
      </c>
      <c r="D400" s="7"/>
      <c r="E400" s="7">
        <v>2618</v>
      </c>
      <c r="F400" s="7">
        <v>0</v>
      </c>
      <c r="G400" s="7">
        <v>0</v>
      </c>
      <c r="H400" s="7">
        <v>1000</v>
      </c>
      <c r="I400" s="7">
        <v>0</v>
      </c>
      <c r="J400" s="7">
        <v>0</v>
      </c>
      <c r="K400" s="7">
        <v>1200</v>
      </c>
      <c r="L400" s="7">
        <v>0</v>
      </c>
      <c r="M400" s="7">
        <v>0</v>
      </c>
      <c r="N400" s="7">
        <f t="shared" si="53"/>
        <v>1200</v>
      </c>
      <c r="O400" s="7">
        <v>0</v>
      </c>
      <c r="P400" s="19">
        <f t="shared" si="52"/>
        <v>1200</v>
      </c>
      <c r="Q400" s="19">
        <v>0</v>
      </c>
    </row>
    <row r="401" spans="1:17" s="154" customFormat="1" ht="12.75" customHeight="1">
      <c r="A401" s="18"/>
      <c r="B401" s="23" t="s">
        <v>119</v>
      </c>
      <c r="C401" s="192" t="s">
        <v>633</v>
      </c>
      <c r="D401" s="7"/>
      <c r="E401" s="7"/>
      <c r="F401" s="7"/>
      <c r="G401" s="7"/>
      <c r="H401" s="7"/>
      <c r="I401" s="7"/>
      <c r="J401" s="7"/>
      <c r="K401" s="7">
        <v>120</v>
      </c>
      <c r="L401" s="7">
        <v>0</v>
      </c>
      <c r="M401" s="7">
        <v>120</v>
      </c>
      <c r="N401" s="7">
        <f t="shared" si="53"/>
        <v>0</v>
      </c>
      <c r="O401" s="7">
        <v>0</v>
      </c>
      <c r="P401" s="19">
        <f t="shared" si="52"/>
        <v>0</v>
      </c>
      <c r="Q401" s="19">
        <v>0</v>
      </c>
    </row>
    <row r="402" spans="1:17" s="154" customFormat="1" ht="14.25" customHeight="1">
      <c r="A402" s="18"/>
      <c r="B402" s="23" t="s">
        <v>256</v>
      </c>
      <c r="C402" s="192" t="s">
        <v>257</v>
      </c>
      <c r="D402" s="7"/>
      <c r="E402" s="7">
        <v>1673</v>
      </c>
      <c r="F402" s="7">
        <v>2671</v>
      </c>
      <c r="G402" s="7">
        <v>0</v>
      </c>
      <c r="H402" s="7">
        <v>3180</v>
      </c>
      <c r="I402" s="7">
        <v>0</v>
      </c>
      <c r="J402" s="7">
        <v>0</v>
      </c>
      <c r="K402" s="7">
        <v>6420</v>
      </c>
      <c r="L402" s="7">
        <v>1796</v>
      </c>
      <c r="M402" s="7">
        <v>0</v>
      </c>
      <c r="N402" s="7">
        <f t="shared" si="53"/>
        <v>8216</v>
      </c>
      <c r="O402" s="7">
        <v>0</v>
      </c>
      <c r="P402" s="19">
        <f t="shared" si="52"/>
        <v>8216</v>
      </c>
      <c r="Q402" s="19">
        <v>0</v>
      </c>
    </row>
    <row r="403" spans="1:17" s="153" customFormat="1" ht="31.5" customHeight="1">
      <c r="A403" s="169" t="s">
        <v>501</v>
      </c>
      <c r="B403" s="167"/>
      <c r="C403" s="179" t="s">
        <v>502</v>
      </c>
      <c r="D403" s="140"/>
      <c r="E403" s="140"/>
      <c r="F403" s="140"/>
      <c r="G403" s="140"/>
      <c r="H403" s="140"/>
      <c r="I403" s="140"/>
      <c r="J403" s="140"/>
      <c r="K403" s="140">
        <f>SUM(K404:K415)</f>
        <v>150050</v>
      </c>
      <c r="L403" s="140">
        <f>SUM(L404:L415)</f>
        <v>13490</v>
      </c>
      <c r="M403" s="140">
        <f>SUM(M404:M415)</f>
        <v>13490</v>
      </c>
      <c r="N403" s="140">
        <f t="shared" si="53"/>
        <v>150050</v>
      </c>
      <c r="O403" s="140">
        <f>SUM(O404:O414)</f>
        <v>0</v>
      </c>
      <c r="P403" s="140">
        <f>SUM(P404:P415)</f>
        <v>150050</v>
      </c>
      <c r="Q403" s="140">
        <f>SUM(Q404:Q414)</f>
        <v>0</v>
      </c>
    </row>
    <row r="404" spans="1:17" s="153" customFormat="1" ht="15" customHeight="1">
      <c r="A404" s="21"/>
      <c r="B404" s="25" t="s">
        <v>234</v>
      </c>
      <c r="C404" s="229" t="s">
        <v>235</v>
      </c>
      <c r="D404" s="15"/>
      <c r="E404" s="15"/>
      <c r="F404" s="15"/>
      <c r="G404" s="15"/>
      <c r="H404" s="15"/>
      <c r="I404" s="15"/>
      <c r="J404" s="15"/>
      <c r="K404" s="15">
        <v>39931</v>
      </c>
      <c r="L404" s="15">
        <v>0</v>
      </c>
      <c r="M404" s="15">
        <v>0</v>
      </c>
      <c r="N404" s="7">
        <f t="shared" si="53"/>
        <v>39931</v>
      </c>
      <c r="O404" s="15">
        <v>0</v>
      </c>
      <c r="P404" s="15">
        <f>N404</f>
        <v>39931</v>
      </c>
      <c r="Q404" s="15">
        <v>0</v>
      </c>
    </row>
    <row r="405" spans="1:17" s="153" customFormat="1" ht="12.75" customHeight="1">
      <c r="A405" s="21"/>
      <c r="B405" s="25" t="s">
        <v>267</v>
      </c>
      <c r="C405" s="229" t="s">
        <v>268</v>
      </c>
      <c r="D405" s="15"/>
      <c r="E405" s="15"/>
      <c r="F405" s="15"/>
      <c r="G405" s="15"/>
      <c r="H405" s="15"/>
      <c r="I405" s="15"/>
      <c r="J405" s="15"/>
      <c r="K405" s="15">
        <v>7274</v>
      </c>
      <c r="L405" s="15">
        <v>0</v>
      </c>
      <c r="M405" s="15">
        <v>0</v>
      </c>
      <c r="N405" s="7">
        <f t="shared" si="53"/>
        <v>7274</v>
      </c>
      <c r="O405" s="15">
        <v>0</v>
      </c>
      <c r="P405" s="15">
        <f aca="true" t="shared" si="54" ref="P405:P415">N405</f>
        <v>7274</v>
      </c>
      <c r="Q405" s="15">
        <v>0</v>
      </c>
    </row>
    <row r="406" spans="1:17" s="153" customFormat="1" ht="12.75" customHeight="1">
      <c r="A406" s="21"/>
      <c r="B406" s="25" t="s">
        <v>242</v>
      </c>
      <c r="C406" s="229" t="s">
        <v>243</v>
      </c>
      <c r="D406" s="15"/>
      <c r="E406" s="15"/>
      <c r="F406" s="15"/>
      <c r="G406" s="15"/>
      <c r="H406" s="15"/>
      <c r="I406" s="15"/>
      <c r="J406" s="15"/>
      <c r="K406" s="15">
        <v>1152</v>
      </c>
      <c r="L406" s="15">
        <v>0</v>
      </c>
      <c r="M406" s="15">
        <v>0</v>
      </c>
      <c r="N406" s="7">
        <f t="shared" si="53"/>
        <v>1152</v>
      </c>
      <c r="O406" s="15">
        <v>0</v>
      </c>
      <c r="P406" s="15">
        <f t="shared" si="54"/>
        <v>1152</v>
      </c>
      <c r="Q406" s="15">
        <v>0</v>
      </c>
    </row>
    <row r="407" spans="1:17" s="154" customFormat="1" ht="14.25" customHeight="1">
      <c r="A407" s="18"/>
      <c r="B407" s="23" t="s">
        <v>244</v>
      </c>
      <c r="C407" s="192" t="s">
        <v>245</v>
      </c>
      <c r="D407" s="7"/>
      <c r="E407" s="7"/>
      <c r="F407" s="7"/>
      <c r="G407" s="7"/>
      <c r="H407" s="7"/>
      <c r="I407" s="7"/>
      <c r="J407" s="7"/>
      <c r="K407" s="15">
        <v>24583</v>
      </c>
      <c r="L407" s="15">
        <v>13490</v>
      </c>
      <c r="M407" s="7">
        <v>0</v>
      </c>
      <c r="N407" s="7">
        <f t="shared" si="53"/>
        <v>38073</v>
      </c>
      <c r="O407" s="15">
        <v>0</v>
      </c>
      <c r="P407" s="15">
        <f t="shared" si="54"/>
        <v>38073</v>
      </c>
      <c r="Q407" s="15">
        <v>0</v>
      </c>
    </row>
    <row r="408" spans="1:17" s="154" customFormat="1" ht="15.75" customHeight="1">
      <c r="A408" s="18"/>
      <c r="B408" s="23" t="s">
        <v>440</v>
      </c>
      <c r="C408" s="192" t="s">
        <v>136</v>
      </c>
      <c r="D408" s="7"/>
      <c r="E408" s="7"/>
      <c r="F408" s="7"/>
      <c r="G408" s="7"/>
      <c r="H408" s="7"/>
      <c r="I408" s="7"/>
      <c r="J408" s="7"/>
      <c r="K408" s="15">
        <v>300</v>
      </c>
      <c r="L408" s="15">
        <v>0</v>
      </c>
      <c r="M408" s="7">
        <v>0</v>
      </c>
      <c r="N408" s="7">
        <f t="shared" si="53"/>
        <v>300</v>
      </c>
      <c r="O408" s="15">
        <v>0</v>
      </c>
      <c r="P408" s="15">
        <f t="shared" si="54"/>
        <v>300</v>
      </c>
      <c r="Q408" s="15">
        <v>0</v>
      </c>
    </row>
    <row r="409" spans="1:17" s="154" customFormat="1" ht="15" customHeight="1">
      <c r="A409" s="18"/>
      <c r="B409" s="23" t="s">
        <v>246</v>
      </c>
      <c r="C409" s="192" t="s">
        <v>350</v>
      </c>
      <c r="D409" s="7"/>
      <c r="E409" s="7"/>
      <c r="F409" s="7"/>
      <c r="G409" s="7"/>
      <c r="H409" s="7"/>
      <c r="I409" s="7"/>
      <c r="J409" s="7"/>
      <c r="K409" s="15">
        <v>15620</v>
      </c>
      <c r="L409" s="15">
        <v>0</v>
      </c>
      <c r="M409" s="7">
        <v>8934</v>
      </c>
      <c r="N409" s="7">
        <f t="shared" si="53"/>
        <v>6686</v>
      </c>
      <c r="O409" s="15">
        <v>0</v>
      </c>
      <c r="P409" s="15">
        <f t="shared" si="54"/>
        <v>6686</v>
      </c>
      <c r="Q409" s="15">
        <v>0</v>
      </c>
    </row>
    <row r="410" spans="1:17" s="154" customFormat="1" ht="13.5" customHeight="1">
      <c r="A410" s="18"/>
      <c r="B410" s="23" t="s">
        <v>248</v>
      </c>
      <c r="C410" s="192" t="s">
        <v>351</v>
      </c>
      <c r="D410" s="7"/>
      <c r="E410" s="7"/>
      <c r="F410" s="7"/>
      <c r="G410" s="7"/>
      <c r="H410" s="7"/>
      <c r="I410" s="7"/>
      <c r="J410" s="7"/>
      <c r="K410" s="15">
        <v>0</v>
      </c>
      <c r="L410" s="15">
        <v>0</v>
      </c>
      <c r="M410" s="7">
        <v>0</v>
      </c>
      <c r="N410" s="7">
        <f t="shared" si="53"/>
        <v>0</v>
      </c>
      <c r="O410" s="15">
        <v>0</v>
      </c>
      <c r="P410" s="15">
        <f t="shared" si="54"/>
        <v>0</v>
      </c>
      <c r="Q410" s="15">
        <v>0</v>
      </c>
    </row>
    <row r="411" spans="1:17" s="154" customFormat="1" ht="13.5" customHeight="1">
      <c r="A411" s="18"/>
      <c r="B411" s="23" t="s">
        <v>250</v>
      </c>
      <c r="C411" s="192" t="s">
        <v>352</v>
      </c>
      <c r="D411" s="7"/>
      <c r="E411" s="7"/>
      <c r="F411" s="7"/>
      <c r="G411" s="7"/>
      <c r="H411" s="7"/>
      <c r="I411" s="7"/>
      <c r="J411" s="7"/>
      <c r="K411" s="15">
        <v>12080</v>
      </c>
      <c r="L411" s="15">
        <v>0</v>
      </c>
      <c r="M411" s="7">
        <v>1952</v>
      </c>
      <c r="N411" s="7">
        <f t="shared" si="53"/>
        <v>10128</v>
      </c>
      <c r="O411" s="15">
        <v>0</v>
      </c>
      <c r="P411" s="15">
        <f t="shared" si="54"/>
        <v>10128</v>
      </c>
      <c r="Q411" s="15">
        <v>0</v>
      </c>
    </row>
    <row r="412" spans="1:17" s="154" customFormat="1" ht="14.25" customHeight="1">
      <c r="A412" s="18"/>
      <c r="B412" s="23" t="s">
        <v>110</v>
      </c>
      <c r="C412" s="192" t="s">
        <v>111</v>
      </c>
      <c r="D412" s="7"/>
      <c r="E412" s="7"/>
      <c r="F412" s="7"/>
      <c r="G412" s="7"/>
      <c r="H412" s="7"/>
      <c r="I412" s="7"/>
      <c r="J412" s="7"/>
      <c r="K412" s="15">
        <v>1764</v>
      </c>
      <c r="L412" s="15">
        <v>0</v>
      </c>
      <c r="M412" s="7">
        <v>1404</v>
      </c>
      <c r="N412" s="7">
        <f t="shared" si="53"/>
        <v>360</v>
      </c>
      <c r="O412" s="15">
        <v>0</v>
      </c>
      <c r="P412" s="15">
        <f t="shared" si="54"/>
        <v>360</v>
      </c>
      <c r="Q412" s="15">
        <v>0</v>
      </c>
    </row>
    <row r="413" spans="1:17" s="154" customFormat="1" ht="13.5" customHeight="1">
      <c r="A413" s="18"/>
      <c r="B413" s="23" t="s">
        <v>252</v>
      </c>
      <c r="C413" s="192" t="s">
        <v>253</v>
      </c>
      <c r="D413" s="7"/>
      <c r="E413" s="7"/>
      <c r="F413" s="7"/>
      <c r="G413" s="7"/>
      <c r="H413" s="7"/>
      <c r="I413" s="7"/>
      <c r="J413" s="7"/>
      <c r="K413" s="15">
        <v>1200</v>
      </c>
      <c r="L413" s="15">
        <v>0</v>
      </c>
      <c r="M413" s="7">
        <v>1200</v>
      </c>
      <c r="N413" s="7">
        <f t="shared" si="53"/>
        <v>0</v>
      </c>
      <c r="O413" s="15">
        <v>0</v>
      </c>
      <c r="P413" s="15">
        <f t="shared" si="54"/>
        <v>0</v>
      </c>
      <c r="Q413" s="15">
        <v>0</v>
      </c>
    </row>
    <row r="414" spans="1:17" s="154" customFormat="1" ht="15.75" customHeight="1">
      <c r="A414" s="18"/>
      <c r="B414" s="23" t="s">
        <v>256</v>
      </c>
      <c r="C414" s="192" t="s">
        <v>257</v>
      </c>
      <c r="D414" s="7"/>
      <c r="E414" s="7"/>
      <c r="F414" s="7"/>
      <c r="G414" s="7"/>
      <c r="H414" s="7"/>
      <c r="I414" s="7"/>
      <c r="J414" s="7"/>
      <c r="K414" s="15">
        <v>1146</v>
      </c>
      <c r="L414" s="15">
        <v>0</v>
      </c>
      <c r="M414" s="7">
        <v>0</v>
      </c>
      <c r="N414" s="7">
        <f t="shared" si="53"/>
        <v>1146</v>
      </c>
      <c r="O414" s="15">
        <v>0</v>
      </c>
      <c r="P414" s="15">
        <f t="shared" si="54"/>
        <v>1146</v>
      </c>
      <c r="Q414" s="15">
        <v>0</v>
      </c>
    </row>
    <row r="415" spans="1:17" s="154" customFormat="1" ht="14.25" customHeight="1">
      <c r="A415" s="18"/>
      <c r="B415" s="23" t="s">
        <v>276</v>
      </c>
      <c r="C415" s="192" t="s">
        <v>165</v>
      </c>
      <c r="D415" s="7"/>
      <c r="E415" s="7"/>
      <c r="F415" s="7"/>
      <c r="G415" s="7"/>
      <c r="H415" s="7"/>
      <c r="I415" s="7"/>
      <c r="J415" s="7"/>
      <c r="K415" s="15">
        <v>45000</v>
      </c>
      <c r="L415" s="15">
        <v>0</v>
      </c>
      <c r="M415" s="7">
        <v>0</v>
      </c>
      <c r="N415" s="7">
        <f t="shared" si="53"/>
        <v>45000</v>
      </c>
      <c r="O415" s="15"/>
      <c r="P415" s="15">
        <f t="shared" si="54"/>
        <v>45000</v>
      </c>
      <c r="Q415" s="15"/>
    </row>
    <row r="416" spans="1:17" s="154" customFormat="1" ht="24" customHeight="1">
      <c r="A416" s="169" t="s">
        <v>530</v>
      </c>
      <c r="B416" s="169"/>
      <c r="C416" s="235" t="s">
        <v>531</v>
      </c>
      <c r="D416" s="232"/>
      <c r="E416" s="232"/>
      <c r="F416" s="232"/>
      <c r="G416" s="232"/>
      <c r="H416" s="232"/>
      <c r="I416" s="232"/>
      <c r="J416" s="232"/>
      <c r="K416" s="140">
        <f>K417+K418</f>
        <v>2200</v>
      </c>
      <c r="L416" s="140">
        <f>L417+L418</f>
        <v>0</v>
      </c>
      <c r="M416" s="140">
        <f>M417+M418</f>
        <v>900</v>
      </c>
      <c r="N416" s="140">
        <f t="shared" si="53"/>
        <v>1300</v>
      </c>
      <c r="O416" s="140">
        <f>O417+O418</f>
        <v>0</v>
      </c>
      <c r="P416" s="138">
        <f>P417+P418</f>
        <v>1300</v>
      </c>
      <c r="Q416" s="138">
        <f>Q417+Q418</f>
        <v>0</v>
      </c>
    </row>
    <row r="417" spans="1:17" s="223" customFormat="1" ht="16.5" customHeight="1">
      <c r="A417" s="29"/>
      <c r="B417" s="29" t="s">
        <v>118</v>
      </c>
      <c r="C417" s="229" t="s">
        <v>646</v>
      </c>
      <c r="D417" s="15"/>
      <c r="E417" s="15"/>
      <c r="F417" s="15"/>
      <c r="G417" s="15"/>
      <c r="H417" s="15"/>
      <c r="I417" s="15"/>
      <c r="J417" s="15"/>
      <c r="K417" s="15">
        <v>1300</v>
      </c>
      <c r="L417" s="15">
        <v>0</v>
      </c>
      <c r="M417" s="15"/>
      <c r="N417" s="7">
        <f t="shared" si="53"/>
        <v>1300</v>
      </c>
      <c r="O417" s="15">
        <v>0</v>
      </c>
      <c r="P417" s="16">
        <f>N417</f>
        <v>1300</v>
      </c>
      <c r="Q417" s="16">
        <v>0</v>
      </c>
    </row>
    <row r="418" spans="1:17" s="154" customFormat="1" ht="17.25" customHeight="1">
      <c r="A418" s="18"/>
      <c r="B418" s="18" t="s">
        <v>250</v>
      </c>
      <c r="C418" s="229" t="s">
        <v>352</v>
      </c>
      <c r="D418" s="7"/>
      <c r="E418" s="7"/>
      <c r="F418" s="7"/>
      <c r="G418" s="7"/>
      <c r="H418" s="7"/>
      <c r="I418" s="7"/>
      <c r="J418" s="7"/>
      <c r="K418" s="7">
        <v>900</v>
      </c>
      <c r="L418" s="7"/>
      <c r="M418" s="7">
        <v>900</v>
      </c>
      <c r="N418" s="7">
        <f t="shared" si="53"/>
        <v>0</v>
      </c>
      <c r="O418" s="7">
        <v>0</v>
      </c>
      <c r="P418" s="16">
        <f>N418</f>
        <v>0</v>
      </c>
      <c r="Q418" s="19">
        <v>0</v>
      </c>
    </row>
    <row r="419" spans="1:17" s="154" customFormat="1" ht="17.25" customHeight="1">
      <c r="A419" s="169" t="s">
        <v>363</v>
      </c>
      <c r="B419" s="169"/>
      <c r="C419" s="235" t="s">
        <v>309</v>
      </c>
      <c r="D419" s="140"/>
      <c r="E419" s="140" t="e">
        <f>#REF!+#REF!</f>
        <v>#REF!</v>
      </c>
      <c r="F419" s="140" t="e">
        <f>#REF!+#REF!</f>
        <v>#REF!</v>
      </c>
      <c r="G419" s="140" t="e">
        <f>#REF!+#REF!</f>
        <v>#REF!</v>
      </c>
      <c r="H419" s="140" t="e">
        <f>#REF!+H425</f>
        <v>#REF!</v>
      </c>
      <c r="I419" s="140" t="e">
        <f>#REF!+I425</f>
        <v>#REF!</v>
      </c>
      <c r="J419" s="140" t="e">
        <f>#REF!+J425</f>
        <v>#REF!</v>
      </c>
      <c r="K419" s="140">
        <f>K420+K421+K422+K423+K424+K425</f>
        <v>65472</v>
      </c>
      <c r="L419" s="140">
        <f>L420+L421+L422+L423+L424+L425</f>
        <v>2126</v>
      </c>
      <c r="M419" s="140">
        <f>M420+M421+M422+M423+M424+M425</f>
        <v>2126</v>
      </c>
      <c r="N419" s="140">
        <f t="shared" si="53"/>
        <v>65472</v>
      </c>
      <c r="O419" s="140">
        <f>O421+O423+O424+O425</f>
        <v>50000</v>
      </c>
      <c r="P419" s="140">
        <f>P420+P421+P422+P424+P425</f>
        <v>15472</v>
      </c>
      <c r="Q419" s="140">
        <f>Q421+Q424+Q425</f>
        <v>0</v>
      </c>
    </row>
    <row r="420" spans="1:17" s="154" customFormat="1" ht="15" customHeight="1">
      <c r="A420" s="525"/>
      <c r="B420" s="526" t="s">
        <v>97</v>
      </c>
      <c r="C420" s="527" t="s">
        <v>109</v>
      </c>
      <c r="D420" s="231"/>
      <c r="E420" s="231"/>
      <c r="F420" s="231"/>
      <c r="G420" s="231"/>
      <c r="H420" s="231"/>
      <c r="I420" s="231"/>
      <c r="J420" s="231"/>
      <c r="K420" s="452">
        <v>5220</v>
      </c>
      <c r="L420" s="452">
        <v>1500</v>
      </c>
      <c r="M420" s="452"/>
      <c r="N420" s="452">
        <f t="shared" si="53"/>
        <v>6720</v>
      </c>
      <c r="O420" s="452"/>
      <c r="P420" s="452">
        <f>N420</f>
        <v>6720</v>
      </c>
      <c r="Q420" s="452"/>
    </row>
    <row r="421" spans="1:17" s="154" customFormat="1" ht="13.5" customHeight="1">
      <c r="A421" s="21"/>
      <c r="B421" s="29" t="s">
        <v>244</v>
      </c>
      <c r="C421" s="229" t="s">
        <v>245</v>
      </c>
      <c r="D421" s="15"/>
      <c r="E421" s="15"/>
      <c r="F421" s="15"/>
      <c r="G421" s="15"/>
      <c r="H421" s="15"/>
      <c r="I421" s="15"/>
      <c r="J421" s="15"/>
      <c r="K421" s="15">
        <v>33283</v>
      </c>
      <c r="L421" s="15">
        <v>626</v>
      </c>
      <c r="M421" s="15"/>
      <c r="N421" s="7">
        <f>K421+L421-M421</f>
        <v>33909</v>
      </c>
      <c r="O421" s="15">
        <f>N421-P421</f>
        <v>30626</v>
      </c>
      <c r="P421" s="15">
        <v>3283</v>
      </c>
      <c r="Q421" s="15">
        <v>0</v>
      </c>
    </row>
    <row r="422" spans="1:17" s="154" customFormat="1" ht="14.25" customHeight="1">
      <c r="A422" s="21"/>
      <c r="B422" s="29" t="s">
        <v>246</v>
      </c>
      <c r="C422" s="192" t="s">
        <v>351</v>
      </c>
      <c r="D422" s="15"/>
      <c r="E422" s="15"/>
      <c r="F422" s="15"/>
      <c r="G422" s="15"/>
      <c r="H422" s="15"/>
      <c r="I422" s="15"/>
      <c r="J422" s="15"/>
      <c r="K422" s="15">
        <v>1000</v>
      </c>
      <c r="L422" s="15">
        <v>0</v>
      </c>
      <c r="M422" s="15">
        <v>1000</v>
      </c>
      <c r="N422" s="7">
        <f>K422+L422-M422</f>
        <v>0</v>
      </c>
      <c r="O422" s="15">
        <v>0</v>
      </c>
      <c r="P422" s="15">
        <f>N422-O422</f>
        <v>0</v>
      </c>
      <c r="Q422" s="15"/>
    </row>
    <row r="423" spans="1:17" s="154" customFormat="1" ht="14.25" customHeight="1">
      <c r="A423" s="21"/>
      <c r="B423" s="29" t="s">
        <v>248</v>
      </c>
      <c r="C423" s="192" t="s">
        <v>351</v>
      </c>
      <c r="D423" s="15"/>
      <c r="E423" s="15"/>
      <c r="F423" s="15"/>
      <c r="G423" s="15"/>
      <c r="H423" s="15"/>
      <c r="I423" s="15"/>
      <c r="J423" s="15"/>
      <c r="K423" s="15">
        <v>20000</v>
      </c>
      <c r="L423" s="15">
        <v>0</v>
      </c>
      <c r="M423" s="15">
        <v>626</v>
      </c>
      <c r="N423" s="7">
        <f>K423+L423-M423</f>
        <v>19374</v>
      </c>
      <c r="O423" s="15">
        <f>N423-P423</f>
        <v>19374</v>
      </c>
      <c r="P423" s="15">
        <v>0</v>
      </c>
      <c r="Q423" s="15"/>
    </row>
    <row r="424" spans="1:17" s="154" customFormat="1" ht="14.25" customHeight="1">
      <c r="A424" s="21"/>
      <c r="B424" s="29" t="s">
        <v>250</v>
      </c>
      <c r="C424" s="192" t="s">
        <v>352</v>
      </c>
      <c r="D424" s="15"/>
      <c r="E424" s="15"/>
      <c r="F424" s="15"/>
      <c r="G424" s="15"/>
      <c r="H424" s="15"/>
      <c r="I424" s="15"/>
      <c r="J424" s="15"/>
      <c r="K424" s="15">
        <v>500</v>
      </c>
      <c r="L424" s="15">
        <v>0</v>
      </c>
      <c r="M424" s="15">
        <v>500</v>
      </c>
      <c r="N424" s="7">
        <f t="shared" si="53"/>
        <v>0</v>
      </c>
      <c r="O424" s="15">
        <f>N424-P424</f>
        <v>0</v>
      </c>
      <c r="P424" s="15">
        <f>N424</f>
        <v>0</v>
      </c>
      <c r="Q424" s="15">
        <v>0</v>
      </c>
    </row>
    <row r="425" spans="1:17" s="154" customFormat="1" ht="15" customHeight="1">
      <c r="A425" s="18"/>
      <c r="B425" s="18" t="s">
        <v>256</v>
      </c>
      <c r="C425" s="229" t="s">
        <v>503</v>
      </c>
      <c r="D425" s="7"/>
      <c r="E425" s="7">
        <v>6515</v>
      </c>
      <c r="F425" s="7">
        <v>3292</v>
      </c>
      <c r="G425" s="7">
        <v>0</v>
      </c>
      <c r="H425" s="7">
        <v>2885</v>
      </c>
      <c r="I425" s="7">
        <v>0</v>
      </c>
      <c r="J425" s="7">
        <v>0</v>
      </c>
      <c r="K425" s="7">
        <v>5469</v>
      </c>
      <c r="L425" s="7"/>
      <c r="M425" s="7"/>
      <c r="N425" s="7">
        <f t="shared" si="53"/>
        <v>5469</v>
      </c>
      <c r="O425" s="15">
        <f>N425-P425</f>
        <v>0</v>
      </c>
      <c r="P425" s="15">
        <f>N425</f>
        <v>5469</v>
      </c>
      <c r="Q425" s="19">
        <v>0</v>
      </c>
    </row>
    <row r="426" spans="1:17" s="154" customFormat="1" ht="25.5" customHeight="1">
      <c r="A426" s="151" t="s">
        <v>432</v>
      </c>
      <c r="B426" s="151"/>
      <c r="C426" s="152" t="s">
        <v>362</v>
      </c>
      <c r="D426" s="145"/>
      <c r="E426" s="145"/>
      <c r="F426" s="145"/>
      <c r="G426" s="145"/>
      <c r="H426" s="145"/>
      <c r="I426" s="145"/>
      <c r="J426" s="145"/>
      <c r="K426" s="145">
        <f>K427+K435+K449</f>
        <v>1323280</v>
      </c>
      <c r="L426" s="145">
        <f>L427+L435+L449</f>
        <v>16700</v>
      </c>
      <c r="M426" s="145">
        <f>M427+M435+M449</f>
        <v>53986</v>
      </c>
      <c r="N426" s="145">
        <f t="shared" si="53"/>
        <v>1285994</v>
      </c>
      <c r="O426" s="145">
        <f>O427+O435</f>
        <v>0</v>
      </c>
      <c r="P426" s="145">
        <f>P427+P435+P449</f>
        <v>1285994</v>
      </c>
      <c r="Q426" s="145">
        <f>Q427+Q435</f>
        <v>0</v>
      </c>
    </row>
    <row r="427" spans="1:17" s="154" customFormat="1" ht="21.75" customHeight="1">
      <c r="A427" s="169" t="s">
        <v>444</v>
      </c>
      <c r="B427" s="169"/>
      <c r="C427" s="168" t="s">
        <v>21</v>
      </c>
      <c r="D427" s="140"/>
      <c r="E427" s="140"/>
      <c r="F427" s="140"/>
      <c r="G427" s="140"/>
      <c r="H427" s="140"/>
      <c r="I427" s="140"/>
      <c r="J427" s="140"/>
      <c r="K427" s="140">
        <f>K428+K429+K430+K431+K432+K433+K434</f>
        <v>20951</v>
      </c>
      <c r="L427" s="140">
        <f>L428+L429+L430+L431+L432+L433+L434</f>
        <v>0</v>
      </c>
      <c r="M427" s="140">
        <f>M428+M429+M430+M431+M432+M433+M434</f>
        <v>0</v>
      </c>
      <c r="N427" s="140">
        <f t="shared" si="53"/>
        <v>20951</v>
      </c>
      <c r="O427" s="140">
        <f>O428+O429+O430+O431+O433+O434</f>
        <v>0</v>
      </c>
      <c r="P427" s="140">
        <f>P428+P429+P430+P431+P432+P433+P434</f>
        <v>20951</v>
      </c>
      <c r="Q427" s="140">
        <f>Q428+Q429+Q430+Q431+Q433+Q434</f>
        <v>0</v>
      </c>
    </row>
    <row r="428" spans="1:17" s="154" customFormat="1" ht="14.25" customHeight="1">
      <c r="A428" s="18"/>
      <c r="B428" s="18" t="s">
        <v>234</v>
      </c>
      <c r="C428" s="229" t="s">
        <v>235</v>
      </c>
      <c r="D428" s="7">
        <v>16515</v>
      </c>
      <c r="E428" s="7">
        <v>15028</v>
      </c>
      <c r="F428" s="7">
        <v>0</v>
      </c>
      <c r="G428" s="7">
        <v>0</v>
      </c>
      <c r="H428" s="7">
        <v>9550</v>
      </c>
      <c r="I428" s="7">
        <v>0</v>
      </c>
      <c r="J428" s="7">
        <v>0</v>
      </c>
      <c r="K428" s="7">
        <v>13603</v>
      </c>
      <c r="L428" s="7"/>
      <c r="M428" s="7">
        <v>0</v>
      </c>
      <c r="N428" s="7">
        <f t="shared" si="53"/>
        <v>13603</v>
      </c>
      <c r="O428" s="7">
        <v>0</v>
      </c>
      <c r="P428" s="19">
        <f aca="true" t="shared" si="55" ref="P428:P434">N428</f>
        <v>13603</v>
      </c>
      <c r="Q428" s="19">
        <v>0</v>
      </c>
    </row>
    <row r="429" spans="1:17" s="154" customFormat="1" ht="15.75" customHeight="1">
      <c r="A429" s="18"/>
      <c r="B429" s="18" t="s">
        <v>238</v>
      </c>
      <c r="C429" s="229" t="s">
        <v>239</v>
      </c>
      <c r="D429" s="7"/>
      <c r="E429" s="7"/>
      <c r="F429" s="7"/>
      <c r="G429" s="7"/>
      <c r="H429" s="7">
        <v>765</v>
      </c>
      <c r="I429" s="7">
        <v>0</v>
      </c>
      <c r="J429" s="7">
        <v>0</v>
      </c>
      <c r="K429" s="7">
        <v>1275</v>
      </c>
      <c r="L429" s="7"/>
      <c r="M429" s="7">
        <v>0</v>
      </c>
      <c r="N429" s="7">
        <f t="shared" si="53"/>
        <v>1275</v>
      </c>
      <c r="O429" s="7">
        <v>0</v>
      </c>
      <c r="P429" s="19">
        <f t="shared" si="55"/>
        <v>1275</v>
      </c>
      <c r="Q429" s="19">
        <v>0</v>
      </c>
    </row>
    <row r="430" spans="1:17" s="154" customFormat="1" ht="16.5" customHeight="1">
      <c r="A430" s="18"/>
      <c r="B430" s="30" t="s">
        <v>267</v>
      </c>
      <c r="C430" s="229" t="s">
        <v>445</v>
      </c>
      <c r="D430" s="7">
        <v>3358</v>
      </c>
      <c r="E430" s="7">
        <v>2709</v>
      </c>
      <c r="F430" s="7">
        <v>0</v>
      </c>
      <c r="G430" s="7">
        <v>0</v>
      </c>
      <c r="H430" s="7">
        <v>1844</v>
      </c>
      <c r="I430" s="7">
        <v>0</v>
      </c>
      <c r="J430" s="7">
        <v>0</v>
      </c>
      <c r="K430" s="7">
        <v>2565</v>
      </c>
      <c r="L430" s="7"/>
      <c r="M430" s="7">
        <v>0</v>
      </c>
      <c r="N430" s="7">
        <f t="shared" si="53"/>
        <v>2565</v>
      </c>
      <c r="O430" s="7">
        <v>0</v>
      </c>
      <c r="P430" s="19">
        <f t="shared" si="55"/>
        <v>2565</v>
      </c>
      <c r="Q430" s="19">
        <v>0</v>
      </c>
    </row>
    <row r="431" spans="1:17" s="154" customFormat="1" ht="15" customHeight="1">
      <c r="A431" s="18"/>
      <c r="B431" s="30" t="s">
        <v>242</v>
      </c>
      <c r="C431" s="229" t="s">
        <v>243</v>
      </c>
      <c r="D431" s="7"/>
      <c r="E431" s="7">
        <v>371</v>
      </c>
      <c r="F431" s="7">
        <v>0</v>
      </c>
      <c r="G431" s="7">
        <v>0</v>
      </c>
      <c r="H431" s="7">
        <v>253</v>
      </c>
      <c r="I431" s="7">
        <v>0</v>
      </c>
      <c r="J431" s="7">
        <v>0</v>
      </c>
      <c r="K431" s="7">
        <v>365</v>
      </c>
      <c r="L431" s="7"/>
      <c r="M431" s="7">
        <v>0</v>
      </c>
      <c r="N431" s="7">
        <f t="shared" si="53"/>
        <v>365</v>
      </c>
      <c r="O431" s="7">
        <v>0</v>
      </c>
      <c r="P431" s="19">
        <f t="shared" si="55"/>
        <v>365</v>
      </c>
      <c r="Q431" s="19">
        <v>0</v>
      </c>
    </row>
    <row r="432" spans="1:17" s="154" customFormat="1" ht="15" customHeight="1">
      <c r="A432" s="18"/>
      <c r="B432" s="30" t="s">
        <v>244</v>
      </c>
      <c r="C432" s="229" t="s">
        <v>396</v>
      </c>
      <c r="D432" s="7"/>
      <c r="E432" s="7"/>
      <c r="F432" s="7"/>
      <c r="G432" s="7"/>
      <c r="H432" s="7"/>
      <c r="I432" s="7"/>
      <c r="J432" s="7"/>
      <c r="K432" s="7">
        <v>2130</v>
      </c>
      <c r="L432" s="7">
        <v>0</v>
      </c>
      <c r="M432" s="7"/>
      <c r="N432" s="7">
        <f t="shared" si="53"/>
        <v>2130</v>
      </c>
      <c r="O432" s="7"/>
      <c r="P432" s="19">
        <f t="shared" si="55"/>
        <v>2130</v>
      </c>
      <c r="Q432" s="19"/>
    </row>
    <row r="433" spans="1:17" s="154" customFormat="1" ht="15.75" customHeight="1">
      <c r="A433" s="18"/>
      <c r="B433" s="18" t="s">
        <v>250</v>
      </c>
      <c r="C433" s="229" t="s">
        <v>352</v>
      </c>
      <c r="D433" s="7"/>
      <c r="E433" s="7"/>
      <c r="F433" s="7"/>
      <c r="G433" s="7"/>
      <c r="H433" s="7">
        <v>29725</v>
      </c>
      <c r="I433" s="7">
        <v>0</v>
      </c>
      <c r="J433" s="7">
        <v>0</v>
      </c>
      <c r="K433" s="7">
        <v>561</v>
      </c>
      <c r="L433" s="7"/>
      <c r="M433" s="7">
        <v>0</v>
      </c>
      <c r="N433" s="7">
        <f t="shared" si="53"/>
        <v>561</v>
      </c>
      <c r="O433" s="7">
        <v>0</v>
      </c>
      <c r="P433" s="19">
        <f t="shared" si="55"/>
        <v>561</v>
      </c>
      <c r="Q433" s="19">
        <v>0</v>
      </c>
    </row>
    <row r="434" spans="1:17" s="154" customFormat="1" ht="18" customHeight="1">
      <c r="A434" s="18"/>
      <c r="B434" s="18" t="s">
        <v>256</v>
      </c>
      <c r="C434" s="229" t="s">
        <v>257</v>
      </c>
      <c r="D434" s="7"/>
      <c r="E434" s="7"/>
      <c r="F434" s="7"/>
      <c r="G434" s="7"/>
      <c r="H434" s="7"/>
      <c r="I434" s="7"/>
      <c r="J434" s="7"/>
      <c r="K434" s="7">
        <v>452</v>
      </c>
      <c r="L434" s="7"/>
      <c r="M434" s="7">
        <v>0</v>
      </c>
      <c r="N434" s="7">
        <f t="shared" si="53"/>
        <v>452</v>
      </c>
      <c r="O434" s="7">
        <v>0</v>
      </c>
      <c r="P434" s="19">
        <f t="shared" si="55"/>
        <v>452</v>
      </c>
      <c r="Q434" s="19">
        <v>0</v>
      </c>
    </row>
    <row r="435" spans="1:17" s="154" customFormat="1" ht="18.75" customHeight="1">
      <c r="A435" s="169" t="s">
        <v>446</v>
      </c>
      <c r="B435" s="236"/>
      <c r="C435" s="168" t="s">
        <v>447</v>
      </c>
      <c r="D435" s="140" t="e">
        <f>D437+D438+D439+#REF!</f>
        <v>#REF!</v>
      </c>
      <c r="E435" s="140" t="e">
        <f>E437+E438+E439+E440+#REF!+#REF!+E442+E443+#REF!+E444+E446+#REF!+#REF!</f>
        <v>#REF!</v>
      </c>
      <c r="F435" s="140" t="e">
        <f>F437+F438+F439+F440+#REF!+#REF!+F442+F443+#REF!+F444+F446+#REF!+#REF!</f>
        <v>#REF!</v>
      </c>
      <c r="G435" s="140" t="e">
        <f>G437+G438+G439+G440+#REF!+#REF!+G442+G443+#REF!+G444+G446+#REF!+#REF!</f>
        <v>#REF!</v>
      </c>
      <c r="H435" s="140" t="e">
        <f>H437+H438+H439+H440+H442+H443+H444+H446+#REF!+H447+#REF!</f>
        <v>#REF!</v>
      </c>
      <c r="I435" s="140" t="e">
        <f>I437+I438+I439+I440+I442+I443+I444+I446+#REF!+I447+#REF!</f>
        <v>#REF!</v>
      </c>
      <c r="J435" s="140" t="e">
        <f>J437+J438+J439+J440+J442+J443+J444+J446+#REF!+J447+#REF!</f>
        <v>#REF!</v>
      </c>
      <c r="K435" s="140">
        <f>SUM(K436:K448)</f>
        <v>975939</v>
      </c>
      <c r="L435" s="140">
        <f>SUM(L436:L448)</f>
        <v>16023</v>
      </c>
      <c r="M435" s="140">
        <f>SUM(M436:M448)</f>
        <v>16023</v>
      </c>
      <c r="N435" s="140">
        <f t="shared" si="53"/>
        <v>975939</v>
      </c>
      <c r="O435" s="140">
        <f>SUM(O436:O448)</f>
        <v>0</v>
      </c>
      <c r="P435" s="140">
        <f>SUM(P436:P448)</f>
        <v>975939</v>
      </c>
      <c r="Q435" s="140">
        <f>SUM(Q436:Q448)</f>
        <v>0</v>
      </c>
    </row>
    <row r="436" spans="1:17" s="154" customFormat="1" ht="15.75" customHeight="1">
      <c r="A436" s="21"/>
      <c r="B436" s="18" t="s">
        <v>218</v>
      </c>
      <c r="C436" s="229" t="s">
        <v>504</v>
      </c>
      <c r="D436" s="6"/>
      <c r="E436" s="6"/>
      <c r="F436" s="6"/>
      <c r="G436" s="6"/>
      <c r="H436" s="6"/>
      <c r="I436" s="6"/>
      <c r="J436" s="6"/>
      <c r="K436" s="15">
        <v>250</v>
      </c>
      <c r="L436" s="15">
        <v>0</v>
      </c>
      <c r="M436" s="15">
        <v>41</v>
      </c>
      <c r="N436" s="7">
        <f t="shared" si="53"/>
        <v>209</v>
      </c>
      <c r="O436" s="6"/>
      <c r="P436" s="15">
        <f>N436-O436</f>
        <v>209</v>
      </c>
      <c r="Q436" s="6"/>
    </row>
    <row r="437" spans="1:17" s="154" customFormat="1" ht="16.5" customHeight="1">
      <c r="A437" s="18"/>
      <c r="B437" s="18" t="s">
        <v>234</v>
      </c>
      <c r="C437" s="229" t="s">
        <v>235</v>
      </c>
      <c r="D437" s="7">
        <v>606420</v>
      </c>
      <c r="E437" s="7">
        <v>652585</v>
      </c>
      <c r="F437" s="7">
        <v>0</v>
      </c>
      <c r="G437" s="7">
        <v>0</v>
      </c>
      <c r="H437" s="7">
        <v>370235</v>
      </c>
      <c r="I437" s="7">
        <v>0</v>
      </c>
      <c r="J437" s="7">
        <v>0</v>
      </c>
      <c r="K437" s="7">
        <v>566083</v>
      </c>
      <c r="L437" s="7">
        <v>0</v>
      </c>
      <c r="M437" s="7">
        <v>0</v>
      </c>
      <c r="N437" s="7">
        <f t="shared" si="53"/>
        <v>566083</v>
      </c>
      <c r="O437" s="7">
        <v>0</v>
      </c>
      <c r="P437" s="15">
        <f aca="true" t="shared" si="56" ref="P437:P465">N437-O437</f>
        <v>566083</v>
      </c>
      <c r="Q437" s="19">
        <v>0</v>
      </c>
    </row>
    <row r="438" spans="1:17" s="154" customFormat="1" ht="15.75" customHeight="1">
      <c r="A438" s="18"/>
      <c r="B438" s="18" t="s">
        <v>238</v>
      </c>
      <c r="C438" s="229" t="s">
        <v>239</v>
      </c>
      <c r="D438" s="7">
        <v>48267</v>
      </c>
      <c r="E438" s="7">
        <v>48566</v>
      </c>
      <c r="F438" s="7">
        <v>0</v>
      </c>
      <c r="G438" s="7">
        <v>0</v>
      </c>
      <c r="H438" s="15">
        <v>28767</v>
      </c>
      <c r="I438" s="15">
        <v>0</v>
      </c>
      <c r="J438" s="15">
        <v>0</v>
      </c>
      <c r="K438" s="7">
        <v>42907</v>
      </c>
      <c r="L438" s="7">
        <v>0</v>
      </c>
      <c r="M438" s="15">
        <v>0</v>
      </c>
      <c r="N438" s="7">
        <f t="shared" si="53"/>
        <v>42907</v>
      </c>
      <c r="O438" s="7">
        <v>0</v>
      </c>
      <c r="P438" s="15">
        <f t="shared" si="56"/>
        <v>42907</v>
      </c>
      <c r="Q438" s="19">
        <v>0</v>
      </c>
    </row>
    <row r="439" spans="1:17" s="154" customFormat="1" ht="15.75" customHeight="1">
      <c r="A439" s="18"/>
      <c r="B439" s="30" t="s">
        <v>293</v>
      </c>
      <c r="C439" s="229" t="s">
        <v>307</v>
      </c>
      <c r="D439" s="7">
        <v>131863</v>
      </c>
      <c r="E439" s="7">
        <v>124716</v>
      </c>
      <c r="F439" s="7">
        <v>0</v>
      </c>
      <c r="G439" s="7">
        <v>0</v>
      </c>
      <c r="H439" s="7">
        <v>68092</v>
      </c>
      <c r="I439" s="7">
        <v>0</v>
      </c>
      <c r="J439" s="7">
        <v>0</v>
      </c>
      <c r="K439" s="7">
        <v>105116</v>
      </c>
      <c r="L439" s="7">
        <v>0</v>
      </c>
      <c r="M439" s="7">
        <v>1123</v>
      </c>
      <c r="N439" s="7">
        <f t="shared" si="53"/>
        <v>103993</v>
      </c>
      <c r="O439" s="7">
        <v>0</v>
      </c>
      <c r="P439" s="15">
        <f t="shared" si="56"/>
        <v>103993</v>
      </c>
      <c r="Q439" s="19">
        <v>0</v>
      </c>
    </row>
    <row r="440" spans="1:17" s="154" customFormat="1" ht="15" customHeight="1">
      <c r="A440" s="18"/>
      <c r="B440" s="30" t="s">
        <v>242</v>
      </c>
      <c r="C440" s="229" t="s">
        <v>243</v>
      </c>
      <c r="D440" s="7"/>
      <c r="E440" s="7">
        <v>16239</v>
      </c>
      <c r="F440" s="7">
        <v>0</v>
      </c>
      <c r="G440" s="7">
        <v>0</v>
      </c>
      <c r="H440" s="7">
        <v>11100</v>
      </c>
      <c r="I440" s="7">
        <v>0</v>
      </c>
      <c r="J440" s="7">
        <v>0</v>
      </c>
      <c r="K440" s="7">
        <v>17252</v>
      </c>
      <c r="L440" s="7">
        <v>0</v>
      </c>
      <c r="M440" s="7">
        <v>36</v>
      </c>
      <c r="N440" s="7">
        <f t="shared" si="53"/>
        <v>17216</v>
      </c>
      <c r="O440" s="7">
        <v>0</v>
      </c>
      <c r="P440" s="15">
        <f t="shared" si="56"/>
        <v>17216</v>
      </c>
      <c r="Q440" s="19">
        <v>0</v>
      </c>
    </row>
    <row r="441" spans="1:17" s="154" customFormat="1" ht="14.25" customHeight="1">
      <c r="A441" s="18"/>
      <c r="B441" s="18" t="s">
        <v>97</v>
      </c>
      <c r="C441" s="229" t="s">
        <v>109</v>
      </c>
      <c r="D441" s="7"/>
      <c r="E441" s="7"/>
      <c r="F441" s="7"/>
      <c r="G441" s="7"/>
      <c r="H441" s="6"/>
      <c r="I441" s="6"/>
      <c r="J441" s="6"/>
      <c r="K441" s="7">
        <v>21210</v>
      </c>
      <c r="L441" s="7">
        <v>4980</v>
      </c>
      <c r="M441" s="15">
        <v>0</v>
      </c>
      <c r="N441" s="7">
        <f t="shared" si="53"/>
        <v>26190</v>
      </c>
      <c r="O441" s="7">
        <v>0</v>
      </c>
      <c r="P441" s="15">
        <f t="shared" si="56"/>
        <v>26190</v>
      </c>
      <c r="Q441" s="19">
        <v>0</v>
      </c>
    </row>
    <row r="442" spans="1:17" s="154" customFormat="1" ht="15" customHeight="1">
      <c r="A442" s="18"/>
      <c r="B442" s="18" t="s">
        <v>244</v>
      </c>
      <c r="C442" s="229" t="s">
        <v>396</v>
      </c>
      <c r="D442" s="7"/>
      <c r="E442" s="7">
        <v>20202</v>
      </c>
      <c r="F442" s="7">
        <v>0</v>
      </c>
      <c r="G442" s="7">
        <v>0</v>
      </c>
      <c r="H442" s="7">
        <v>25567</v>
      </c>
      <c r="I442" s="7">
        <v>0</v>
      </c>
      <c r="J442" s="7">
        <v>0</v>
      </c>
      <c r="K442" s="7">
        <v>59201</v>
      </c>
      <c r="L442" s="7">
        <v>3104</v>
      </c>
      <c r="M442" s="7">
        <v>0</v>
      </c>
      <c r="N442" s="7">
        <f t="shared" si="53"/>
        <v>62305</v>
      </c>
      <c r="O442" s="7">
        <v>0</v>
      </c>
      <c r="P442" s="15">
        <f t="shared" si="56"/>
        <v>62305</v>
      </c>
      <c r="Q442" s="19">
        <v>0</v>
      </c>
    </row>
    <row r="443" spans="1:17" s="154" customFormat="1" ht="14.25" customHeight="1">
      <c r="A443" s="18"/>
      <c r="B443" s="18" t="s">
        <v>246</v>
      </c>
      <c r="C443" s="229" t="s">
        <v>350</v>
      </c>
      <c r="D443" s="7"/>
      <c r="E443" s="7">
        <v>31800</v>
      </c>
      <c r="F443" s="7">
        <v>0</v>
      </c>
      <c r="G443" s="7">
        <v>0</v>
      </c>
      <c r="H443" s="7">
        <v>34876</v>
      </c>
      <c r="I443" s="7">
        <v>0</v>
      </c>
      <c r="J443" s="7">
        <v>0</v>
      </c>
      <c r="K443" s="7">
        <v>35331</v>
      </c>
      <c r="L443" s="7">
        <v>0</v>
      </c>
      <c r="M443" s="7">
        <v>3645</v>
      </c>
      <c r="N443" s="7">
        <f t="shared" si="53"/>
        <v>31686</v>
      </c>
      <c r="O443" s="7">
        <v>0</v>
      </c>
      <c r="P443" s="15">
        <f t="shared" si="56"/>
        <v>31686</v>
      </c>
      <c r="Q443" s="19">
        <v>0</v>
      </c>
    </row>
    <row r="444" spans="1:17" s="154" customFormat="1" ht="16.5" customHeight="1">
      <c r="A444" s="18"/>
      <c r="B444" s="18" t="s">
        <v>248</v>
      </c>
      <c r="C444" s="229" t="s">
        <v>351</v>
      </c>
      <c r="D444" s="7"/>
      <c r="E444" s="7">
        <v>17850</v>
      </c>
      <c r="F444" s="7">
        <v>0</v>
      </c>
      <c r="G444" s="7">
        <v>0</v>
      </c>
      <c r="H444" s="7">
        <v>33475</v>
      </c>
      <c r="I444" s="7">
        <v>0</v>
      </c>
      <c r="J444" s="7">
        <v>0</v>
      </c>
      <c r="K444" s="7">
        <v>9500</v>
      </c>
      <c r="L444" s="7">
        <v>0</v>
      </c>
      <c r="M444" s="7">
        <v>0</v>
      </c>
      <c r="N444" s="7">
        <f t="shared" si="53"/>
        <v>9500</v>
      </c>
      <c r="O444" s="7">
        <v>0</v>
      </c>
      <c r="P444" s="15">
        <f t="shared" si="56"/>
        <v>9500</v>
      </c>
      <c r="Q444" s="19">
        <v>0</v>
      </c>
    </row>
    <row r="445" spans="1:17" s="154" customFormat="1" ht="13.5" customHeight="1">
      <c r="A445" s="18"/>
      <c r="B445" s="18" t="s">
        <v>250</v>
      </c>
      <c r="C445" s="229" t="s">
        <v>352</v>
      </c>
      <c r="D445" s="7"/>
      <c r="E445" s="7"/>
      <c r="F445" s="7"/>
      <c r="G445" s="7"/>
      <c r="H445" s="7"/>
      <c r="I445" s="7"/>
      <c r="J445" s="7"/>
      <c r="K445" s="7">
        <v>36426</v>
      </c>
      <c r="L445" s="7">
        <v>7939</v>
      </c>
      <c r="M445" s="7">
        <v>830</v>
      </c>
      <c r="N445" s="7">
        <f t="shared" si="53"/>
        <v>43535</v>
      </c>
      <c r="O445" s="7">
        <v>0</v>
      </c>
      <c r="P445" s="15">
        <f t="shared" si="56"/>
        <v>43535</v>
      </c>
      <c r="Q445" s="19">
        <v>0</v>
      </c>
    </row>
    <row r="446" spans="1:17" s="154" customFormat="1" ht="15" customHeight="1">
      <c r="A446" s="18"/>
      <c r="B446" s="18" t="s">
        <v>252</v>
      </c>
      <c r="C446" s="229" t="s">
        <v>253</v>
      </c>
      <c r="D446" s="7"/>
      <c r="E446" s="7">
        <v>1400</v>
      </c>
      <c r="F446" s="7">
        <v>0</v>
      </c>
      <c r="G446" s="7">
        <v>0</v>
      </c>
      <c r="H446" s="7">
        <v>2000</v>
      </c>
      <c r="I446" s="7">
        <v>0</v>
      </c>
      <c r="J446" s="7">
        <v>0</v>
      </c>
      <c r="K446" s="7">
        <v>971</v>
      </c>
      <c r="L446" s="7">
        <v>0</v>
      </c>
      <c r="M446" s="7">
        <v>89</v>
      </c>
      <c r="N446" s="7">
        <f t="shared" si="53"/>
        <v>882</v>
      </c>
      <c r="O446" s="7">
        <v>0</v>
      </c>
      <c r="P446" s="15">
        <f t="shared" si="56"/>
        <v>882</v>
      </c>
      <c r="Q446" s="19">
        <v>0</v>
      </c>
    </row>
    <row r="447" spans="1:17" s="154" customFormat="1" ht="16.5" customHeight="1">
      <c r="A447" s="18"/>
      <c r="B447" s="18" t="s">
        <v>256</v>
      </c>
      <c r="C447" s="229" t="s">
        <v>257</v>
      </c>
      <c r="D447" s="7"/>
      <c r="E447" s="7"/>
      <c r="F447" s="7"/>
      <c r="G447" s="7"/>
      <c r="H447" s="7">
        <v>12853</v>
      </c>
      <c r="I447" s="7">
        <v>0</v>
      </c>
      <c r="J447" s="7">
        <v>0</v>
      </c>
      <c r="K447" s="7">
        <v>23692</v>
      </c>
      <c r="L447" s="7">
        <v>0</v>
      </c>
      <c r="M447" s="7">
        <v>0</v>
      </c>
      <c r="N447" s="7">
        <f t="shared" si="53"/>
        <v>23692</v>
      </c>
      <c r="O447" s="7">
        <v>0</v>
      </c>
      <c r="P447" s="15">
        <f t="shared" si="56"/>
        <v>23692</v>
      </c>
      <c r="Q447" s="19">
        <v>0</v>
      </c>
    </row>
    <row r="448" spans="1:17" s="154" customFormat="1" ht="18.75" customHeight="1">
      <c r="A448" s="18"/>
      <c r="B448" s="18" t="s">
        <v>276</v>
      </c>
      <c r="C448" s="229" t="s">
        <v>165</v>
      </c>
      <c r="D448" s="7"/>
      <c r="E448" s="7"/>
      <c r="F448" s="7"/>
      <c r="G448" s="7"/>
      <c r="H448" s="7"/>
      <c r="I448" s="7"/>
      <c r="J448" s="7"/>
      <c r="K448" s="7">
        <v>58000</v>
      </c>
      <c r="L448" s="7">
        <v>0</v>
      </c>
      <c r="M448" s="7">
        <v>10259</v>
      </c>
      <c r="N448" s="7">
        <f t="shared" si="53"/>
        <v>47741</v>
      </c>
      <c r="O448" s="7">
        <v>0</v>
      </c>
      <c r="P448" s="15">
        <f t="shared" si="56"/>
        <v>47741</v>
      </c>
      <c r="Q448" s="19">
        <v>0</v>
      </c>
    </row>
    <row r="449" spans="1:17" s="154" customFormat="1" ht="17.25" customHeight="1">
      <c r="A449" s="342" t="s">
        <v>51</v>
      </c>
      <c r="B449" s="236"/>
      <c r="C449" s="343" t="s">
        <v>309</v>
      </c>
      <c r="D449" s="232"/>
      <c r="E449" s="232"/>
      <c r="F449" s="232"/>
      <c r="G449" s="232"/>
      <c r="H449" s="232"/>
      <c r="I449" s="232"/>
      <c r="J449" s="232"/>
      <c r="K449" s="344">
        <f>K450+K451+K452+K453+K454+K455+K456+K457+K458+K459+K460+K461+K462+K463+K464+K465</f>
        <v>326390</v>
      </c>
      <c r="L449" s="344">
        <f>L450+L451+L452+L453+L454+L455+L456+L457+L458+L459+L460+L461+L462+L463+L464+L465</f>
        <v>677</v>
      </c>
      <c r="M449" s="344">
        <f>M450+M451+M452+M453+M454+M455+M456+M457+M458+M459+M460+M461+M462+M463+M464+M465</f>
        <v>37963</v>
      </c>
      <c r="N449" s="344">
        <f t="shared" si="53"/>
        <v>289104</v>
      </c>
      <c r="O449" s="344"/>
      <c r="P449" s="344">
        <f t="shared" si="56"/>
        <v>289104</v>
      </c>
      <c r="Q449" s="345"/>
    </row>
    <row r="450" spans="1:17" s="154" customFormat="1" ht="13.5" customHeight="1">
      <c r="A450" s="339"/>
      <c r="B450" s="339" t="s">
        <v>58</v>
      </c>
      <c r="C450" s="340" t="s">
        <v>436</v>
      </c>
      <c r="D450" s="249"/>
      <c r="E450" s="249"/>
      <c r="F450" s="249"/>
      <c r="G450" s="249"/>
      <c r="H450" s="249"/>
      <c r="I450" s="249"/>
      <c r="J450" s="249"/>
      <c r="K450" s="249">
        <v>11745</v>
      </c>
      <c r="L450" s="249">
        <v>0</v>
      </c>
      <c r="M450" s="249">
        <v>6307</v>
      </c>
      <c r="N450" s="7">
        <f t="shared" si="53"/>
        <v>5438</v>
      </c>
      <c r="O450" s="249"/>
      <c r="P450" s="15">
        <f t="shared" si="56"/>
        <v>5438</v>
      </c>
      <c r="Q450" s="341"/>
    </row>
    <row r="451" spans="1:17" s="154" customFormat="1" ht="12.75" customHeight="1">
      <c r="A451" s="339"/>
      <c r="B451" s="339" t="s">
        <v>59</v>
      </c>
      <c r="C451" s="340" t="s">
        <v>436</v>
      </c>
      <c r="D451" s="249"/>
      <c r="E451" s="249"/>
      <c r="F451" s="249"/>
      <c r="G451" s="249"/>
      <c r="H451" s="249"/>
      <c r="I451" s="249"/>
      <c r="J451" s="249"/>
      <c r="K451" s="249">
        <v>3915</v>
      </c>
      <c r="L451" s="249">
        <v>0</v>
      </c>
      <c r="M451" s="249">
        <v>2102</v>
      </c>
      <c r="N451" s="7">
        <f t="shared" si="53"/>
        <v>1813</v>
      </c>
      <c r="O451" s="249"/>
      <c r="P451" s="15">
        <f t="shared" si="56"/>
        <v>1813</v>
      </c>
      <c r="Q451" s="341"/>
    </row>
    <row r="452" spans="1:17" s="154" customFormat="1" ht="13.5" customHeight="1">
      <c r="A452" s="339"/>
      <c r="B452" s="339" t="s">
        <v>52</v>
      </c>
      <c r="C452" s="340" t="s">
        <v>62</v>
      </c>
      <c r="D452" s="249"/>
      <c r="E452" s="249"/>
      <c r="F452" s="249"/>
      <c r="G452" s="249"/>
      <c r="H452" s="249"/>
      <c r="I452" s="249"/>
      <c r="J452" s="249"/>
      <c r="K452" s="249">
        <v>18431</v>
      </c>
      <c r="L452" s="249">
        <v>0</v>
      </c>
      <c r="M452" s="249">
        <v>2632</v>
      </c>
      <c r="N452" s="7">
        <f t="shared" si="53"/>
        <v>15799</v>
      </c>
      <c r="O452" s="249"/>
      <c r="P452" s="15">
        <f t="shared" si="56"/>
        <v>15799</v>
      </c>
      <c r="Q452" s="341"/>
    </row>
    <row r="453" spans="1:17" s="154" customFormat="1" ht="14.25" customHeight="1">
      <c r="A453" s="339"/>
      <c r="B453" s="339" t="s">
        <v>53</v>
      </c>
      <c r="C453" s="340" t="s">
        <v>62</v>
      </c>
      <c r="D453" s="249"/>
      <c r="E453" s="249"/>
      <c r="F453" s="249"/>
      <c r="G453" s="249"/>
      <c r="H453" s="249"/>
      <c r="I453" s="249"/>
      <c r="J453" s="249"/>
      <c r="K453" s="249">
        <v>6144</v>
      </c>
      <c r="L453" s="249">
        <v>0</v>
      </c>
      <c r="M453" s="249">
        <v>878</v>
      </c>
      <c r="N453" s="7">
        <f t="shared" si="53"/>
        <v>5266</v>
      </c>
      <c r="O453" s="249"/>
      <c r="P453" s="15">
        <f t="shared" si="56"/>
        <v>5266</v>
      </c>
      <c r="Q453" s="341"/>
    </row>
    <row r="454" spans="1:17" s="154" customFormat="1" ht="15.75" customHeight="1">
      <c r="A454" s="339"/>
      <c r="B454" s="339" t="s">
        <v>54</v>
      </c>
      <c r="C454" s="340" t="s">
        <v>63</v>
      </c>
      <c r="D454" s="249"/>
      <c r="E454" s="249"/>
      <c r="F454" s="249"/>
      <c r="G454" s="249"/>
      <c r="H454" s="249"/>
      <c r="I454" s="249"/>
      <c r="J454" s="249"/>
      <c r="K454" s="249">
        <v>8765</v>
      </c>
      <c r="L454" s="249">
        <v>0</v>
      </c>
      <c r="M454" s="249">
        <v>614</v>
      </c>
      <c r="N454" s="7">
        <f t="shared" si="53"/>
        <v>8151</v>
      </c>
      <c r="O454" s="249"/>
      <c r="P454" s="15">
        <f t="shared" si="56"/>
        <v>8151</v>
      </c>
      <c r="Q454" s="341"/>
    </row>
    <row r="455" spans="1:17" s="154" customFormat="1" ht="14.25" customHeight="1">
      <c r="A455" s="339"/>
      <c r="B455" s="339" t="s">
        <v>55</v>
      </c>
      <c r="C455" s="340" t="s">
        <v>63</v>
      </c>
      <c r="D455" s="249"/>
      <c r="E455" s="249"/>
      <c r="F455" s="249"/>
      <c r="G455" s="249"/>
      <c r="H455" s="249"/>
      <c r="I455" s="249"/>
      <c r="J455" s="249"/>
      <c r="K455" s="249">
        <v>2922</v>
      </c>
      <c r="L455" s="249">
        <v>0</v>
      </c>
      <c r="M455" s="249">
        <v>205</v>
      </c>
      <c r="N455" s="7">
        <f t="shared" si="53"/>
        <v>2717</v>
      </c>
      <c r="O455" s="249"/>
      <c r="P455" s="15">
        <f t="shared" si="56"/>
        <v>2717</v>
      </c>
      <c r="Q455" s="341"/>
    </row>
    <row r="456" spans="1:17" s="154" customFormat="1" ht="15.75" customHeight="1">
      <c r="A456" s="339"/>
      <c r="B456" s="339" t="s">
        <v>56</v>
      </c>
      <c r="C456" s="340" t="s">
        <v>64</v>
      </c>
      <c r="D456" s="249"/>
      <c r="E456" s="249"/>
      <c r="F456" s="249"/>
      <c r="G456" s="249"/>
      <c r="H456" s="249"/>
      <c r="I456" s="249"/>
      <c r="J456" s="249"/>
      <c r="K456" s="249">
        <v>1255</v>
      </c>
      <c r="L456" s="249">
        <v>0</v>
      </c>
      <c r="M456" s="249">
        <v>20</v>
      </c>
      <c r="N456" s="7">
        <f t="shared" si="53"/>
        <v>1235</v>
      </c>
      <c r="O456" s="249"/>
      <c r="P456" s="15">
        <f t="shared" si="56"/>
        <v>1235</v>
      </c>
      <c r="Q456" s="341"/>
    </row>
    <row r="457" spans="1:17" s="154" customFormat="1" ht="12.75" customHeight="1">
      <c r="A457" s="339"/>
      <c r="B457" s="339" t="s">
        <v>57</v>
      </c>
      <c r="C457" s="340" t="s">
        <v>64</v>
      </c>
      <c r="D457" s="249"/>
      <c r="E457" s="249"/>
      <c r="F457" s="249"/>
      <c r="G457" s="249"/>
      <c r="H457" s="249"/>
      <c r="I457" s="249"/>
      <c r="J457" s="249"/>
      <c r="K457" s="249">
        <v>418</v>
      </c>
      <c r="L457" s="249">
        <v>0</v>
      </c>
      <c r="M457" s="249">
        <v>7</v>
      </c>
      <c r="N457" s="7">
        <f t="shared" si="53"/>
        <v>411</v>
      </c>
      <c r="O457" s="249"/>
      <c r="P457" s="15">
        <f t="shared" si="56"/>
        <v>411</v>
      </c>
      <c r="Q457" s="341"/>
    </row>
    <row r="458" spans="1:17" s="154" customFormat="1" ht="14.25" customHeight="1">
      <c r="A458" s="339"/>
      <c r="B458" s="339" t="s">
        <v>492</v>
      </c>
      <c r="C458" s="340" t="s">
        <v>109</v>
      </c>
      <c r="D458" s="249"/>
      <c r="E458" s="249"/>
      <c r="F458" s="249"/>
      <c r="G458" s="249"/>
      <c r="H458" s="249"/>
      <c r="I458" s="249"/>
      <c r="J458" s="249"/>
      <c r="K458" s="249">
        <v>46399</v>
      </c>
      <c r="L458" s="249">
        <v>507</v>
      </c>
      <c r="M458" s="249">
        <v>0</v>
      </c>
      <c r="N458" s="7">
        <f t="shared" si="53"/>
        <v>46906</v>
      </c>
      <c r="O458" s="249"/>
      <c r="P458" s="15">
        <f t="shared" si="56"/>
        <v>46906</v>
      </c>
      <c r="Q458" s="341"/>
    </row>
    <row r="459" spans="1:17" s="154" customFormat="1" ht="12.75" customHeight="1">
      <c r="A459" s="339"/>
      <c r="B459" s="339" t="s">
        <v>493</v>
      </c>
      <c r="C459" s="340" t="s">
        <v>109</v>
      </c>
      <c r="D459" s="249"/>
      <c r="E459" s="249"/>
      <c r="F459" s="249"/>
      <c r="G459" s="249"/>
      <c r="H459" s="249"/>
      <c r="I459" s="249"/>
      <c r="J459" s="249"/>
      <c r="K459" s="249">
        <v>15466</v>
      </c>
      <c r="L459" s="249">
        <v>170</v>
      </c>
      <c r="M459" s="249">
        <v>0</v>
      </c>
      <c r="N459" s="7">
        <f t="shared" si="53"/>
        <v>15636</v>
      </c>
      <c r="O459" s="249"/>
      <c r="P459" s="15">
        <f t="shared" si="56"/>
        <v>15636</v>
      </c>
      <c r="Q459" s="341"/>
    </row>
    <row r="460" spans="1:17" s="154" customFormat="1" ht="14.25" customHeight="1">
      <c r="A460" s="339"/>
      <c r="B460" s="339" t="s">
        <v>494</v>
      </c>
      <c r="C460" s="340" t="s">
        <v>245</v>
      </c>
      <c r="D460" s="249"/>
      <c r="E460" s="249"/>
      <c r="F460" s="249"/>
      <c r="G460" s="249"/>
      <c r="H460" s="249"/>
      <c r="I460" s="249"/>
      <c r="J460" s="249"/>
      <c r="K460" s="249">
        <v>17547</v>
      </c>
      <c r="L460" s="249">
        <v>0</v>
      </c>
      <c r="M460" s="249">
        <v>1981</v>
      </c>
      <c r="N460" s="7">
        <f t="shared" si="53"/>
        <v>15566</v>
      </c>
      <c r="O460" s="249"/>
      <c r="P460" s="15">
        <f t="shared" si="56"/>
        <v>15566</v>
      </c>
      <c r="Q460" s="341"/>
    </row>
    <row r="461" spans="1:17" s="154" customFormat="1" ht="15" customHeight="1">
      <c r="A461" s="339"/>
      <c r="B461" s="339" t="s">
        <v>497</v>
      </c>
      <c r="C461" s="340" t="s">
        <v>245</v>
      </c>
      <c r="D461" s="249"/>
      <c r="E461" s="249"/>
      <c r="F461" s="249"/>
      <c r="G461" s="249"/>
      <c r="H461" s="249"/>
      <c r="I461" s="249"/>
      <c r="J461" s="249"/>
      <c r="K461" s="249">
        <v>5850</v>
      </c>
      <c r="L461" s="249">
        <v>0</v>
      </c>
      <c r="M461" s="249">
        <v>661</v>
      </c>
      <c r="N461" s="7">
        <f t="shared" si="53"/>
        <v>5189</v>
      </c>
      <c r="O461" s="249"/>
      <c r="P461" s="15">
        <f t="shared" si="56"/>
        <v>5189</v>
      </c>
      <c r="Q461" s="341"/>
    </row>
    <row r="462" spans="1:17" s="154" customFormat="1" ht="14.25" customHeight="1">
      <c r="A462" s="339"/>
      <c r="B462" s="339" t="s">
        <v>60</v>
      </c>
      <c r="C462" s="340" t="s">
        <v>390</v>
      </c>
      <c r="D462" s="249"/>
      <c r="E462" s="249"/>
      <c r="F462" s="249"/>
      <c r="G462" s="249"/>
      <c r="H462" s="249"/>
      <c r="I462" s="249"/>
      <c r="J462" s="249"/>
      <c r="K462" s="249">
        <v>0</v>
      </c>
      <c r="L462" s="249"/>
      <c r="M462" s="249">
        <v>0</v>
      </c>
      <c r="N462" s="7">
        <f t="shared" si="53"/>
        <v>0</v>
      </c>
      <c r="O462" s="249"/>
      <c r="P462" s="15">
        <f t="shared" si="56"/>
        <v>0</v>
      </c>
      <c r="Q462" s="341"/>
    </row>
    <row r="463" spans="1:17" s="154" customFormat="1" ht="12.75" customHeight="1">
      <c r="A463" s="339"/>
      <c r="B463" s="339" t="s">
        <v>61</v>
      </c>
      <c r="C463" s="340" t="s">
        <v>390</v>
      </c>
      <c r="D463" s="249"/>
      <c r="E463" s="249"/>
      <c r="F463" s="249"/>
      <c r="G463" s="249"/>
      <c r="H463" s="249"/>
      <c r="I463" s="249"/>
      <c r="J463" s="249"/>
      <c r="K463" s="249">
        <v>0</v>
      </c>
      <c r="L463" s="249"/>
      <c r="M463" s="249">
        <v>0</v>
      </c>
      <c r="N463" s="7">
        <f t="shared" si="53"/>
        <v>0</v>
      </c>
      <c r="O463" s="249"/>
      <c r="P463" s="15">
        <f t="shared" si="56"/>
        <v>0</v>
      </c>
      <c r="Q463" s="341"/>
    </row>
    <row r="464" spans="1:17" s="154" customFormat="1" ht="13.5" customHeight="1">
      <c r="A464" s="339"/>
      <c r="B464" s="339" t="s">
        <v>495</v>
      </c>
      <c r="C464" s="340" t="s">
        <v>352</v>
      </c>
      <c r="D464" s="249"/>
      <c r="E464" s="249"/>
      <c r="F464" s="249"/>
      <c r="G464" s="249"/>
      <c r="H464" s="249"/>
      <c r="I464" s="249"/>
      <c r="J464" s="249"/>
      <c r="K464" s="249">
        <v>140648</v>
      </c>
      <c r="L464" s="249">
        <v>0</v>
      </c>
      <c r="M464" s="249">
        <v>16915</v>
      </c>
      <c r="N464" s="7">
        <f t="shared" si="53"/>
        <v>123733</v>
      </c>
      <c r="O464" s="249"/>
      <c r="P464" s="15">
        <f t="shared" si="56"/>
        <v>123733</v>
      </c>
      <c r="Q464" s="341"/>
    </row>
    <row r="465" spans="1:17" s="154" customFormat="1" ht="13.5" customHeight="1">
      <c r="A465" s="339"/>
      <c r="B465" s="339" t="s">
        <v>496</v>
      </c>
      <c r="C465" s="340" t="s">
        <v>352</v>
      </c>
      <c r="D465" s="249"/>
      <c r="E465" s="249"/>
      <c r="F465" s="249"/>
      <c r="G465" s="249"/>
      <c r="H465" s="249"/>
      <c r="I465" s="249"/>
      <c r="J465" s="249"/>
      <c r="K465" s="249">
        <v>46885</v>
      </c>
      <c r="L465" s="249">
        <v>0</v>
      </c>
      <c r="M465" s="249">
        <v>5641</v>
      </c>
      <c r="N465" s="249">
        <f t="shared" si="53"/>
        <v>41244</v>
      </c>
      <c r="O465" s="249"/>
      <c r="P465" s="159">
        <f t="shared" si="56"/>
        <v>41244</v>
      </c>
      <c r="Q465" s="341"/>
    </row>
    <row r="466" spans="1:17" s="153" customFormat="1" ht="23.25" customHeight="1">
      <c r="A466" s="151" t="s">
        <v>449</v>
      </c>
      <c r="B466" s="151"/>
      <c r="C466" s="152" t="s">
        <v>450</v>
      </c>
      <c r="D466" s="145" t="e">
        <f>D467+D485+D501+#REF!+D539</f>
        <v>#REF!</v>
      </c>
      <c r="E466" s="145" t="e">
        <f>E467+E485+E501+#REF!+E539+#REF!+E544</f>
        <v>#REF!</v>
      </c>
      <c r="F466" s="145" t="e">
        <f>F467+F485+F501+F539+#REF!+F544</f>
        <v>#REF!</v>
      </c>
      <c r="G466" s="145" t="e">
        <f>G467+G485+G501+G539+#REF!+G544</f>
        <v>#REF!</v>
      </c>
      <c r="H466" s="145" t="e">
        <f>H467+#REF!+H485+H501+H539+H544+H519</f>
        <v>#REF!</v>
      </c>
      <c r="I466" s="145" t="e">
        <f>I467+#REF!+I485+I501+I539+I544+I519</f>
        <v>#REF!</v>
      </c>
      <c r="J466" s="145" t="e">
        <f>J467+#REF!+J485+J501+J539+J544+J519</f>
        <v>#REF!</v>
      </c>
      <c r="K466" s="145">
        <f>K467+K485+K501+K539+K544+K519</f>
        <v>4505657</v>
      </c>
      <c r="L466" s="145">
        <f>L467+L485+L501+L539+L544+L519</f>
        <v>104018</v>
      </c>
      <c r="M466" s="145">
        <f>M467+M485+M501+M539+M544+M519</f>
        <v>176280</v>
      </c>
      <c r="N466" s="145">
        <f t="shared" si="53"/>
        <v>4433395</v>
      </c>
      <c r="O466" s="145">
        <f>O467+O485+O501+O539+O544+O519</f>
        <v>0</v>
      </c>
      <c r="P466" s="145">
        <f>P467+P485+P501+P539+P544+P519</f>
        <v>4431895</v>
      </c>
      <c r="Q466" s="145">
        <f>Q467+Q485+Q501+Q539+Q544+Q519</f>
        <v>1500</v>
      </c>
    </row>
    <row r="467" spans="1:17" s="154" customFormat="1" ht="22.5" customHeight="1">
      <c r="A467" s="169" t="s">
        <v>451</v>
      </c>
      <c r="B467" s="236"/>
      <c r="C467" s="235" t="s">
        <v>452</v>
      </c>
      <c r="D467" s="140" t="e">
        <f>D469+D470+D471+#REF!</f>
        <v>#REF!</v>
      </c>
      <c r="E467" s="140" t="e">
        <f>E469+E470+E471+E472+E468+E473+E474+E475+#REF!+E477+E478+#REF!+E480+#REF!</f>
        <v>#REF!</v>
      </c>
      <c r="F467" s="140" t="e">
        <f>F469+F470+F471+F472+F468+F473+F474+F475+#REF!+F477+F478+#REF!+F480+#REF!</f>
        <v>#REF!</v>
      </c>
      <c r="G467" s="140" t="e">
        <f>G469+G470+G471+G472+G468+G473+G474+G475+#REF!+G477+G478+#REF!+G480+#REF!</f>
        <v>#REF!</v>
      </c>
      <c r="H467" s="140" t="e">
        <f>H469+H470+H471+H472+H473+H474+H475+#REF!+H477+H478+#REF!+H480+#REF!+#REF!</f>
        <v>#REF!</v>
      </c>
      <c r="I467" s="140" t="e">
        <f>I469+I470+I471+I472+I473+I474+I475+#REF!+I477+I478+#REF!+I480+#REF!+#REF!</f>
        <v>#REF!</v>
      </c>
      <c r="J467" s="140" t="e">
        <f>J469+J470+J471+J472+J473+J474+J475+#REF!+J477+J478+#REF!+J480+#REF!+#REF!</f>
        <v>#REF!</v>
      </c>
      <c r="K467" s="140">
        <f>SUM(K468:K484)</f>
        <v>1467707</v>
      </c>
      <c r="L467" s="140">
        <f>SUM(L468:L484)</f>
        <v>50348</v>
      </c>
      <c r="M467" s="140">
        <f>SUM(M468:M484)</f>
        <v>103732</v>
      </c>
      <c r="N467" s="140">
        <f t="shared" si="53"/>
        <v>1414323</v>
      </c>
      <c r="O467" s="140">
        <f>SUM(O468:O480)</f>
        <v>0</v>
      </c>
      <c r="P467" s="140">
        <f>SUM(P468:P484)</f>
        <v>1414323</v>
      </c>
      <c r="Q467" s="140">
        <f>SUM(Q468:Q480)</f>
        <v>0</v>
      </c>
    </row>
    <row r="468" spans="1:17" s="154" customFormat="1" ht="13.5" customHeight="1">
      <c r="A468" s="18"/>
      <c r="B468" s="30" t="s">
        <v>218</v>
      </c>
      <c r="C468" s="229" t="s">
        <v>399</v>
      </c>
      <c r="D468" s="7"/>
      <c r="E468" s="7">
        <v>32821</v>
      </c>
      <c r="F468" s="7">
        <v>0</v>
      </c>
      <c r="G468" s="7">
        <v>0</v>
      </c>
      <c r="H468" s="6"/>
      <c r="I468" s="6"/>
      <c r="J468" s="6"/>
      <c r="K468" s="7">
        <v>1300</v>
      </c>
      <c r="L468" s="7">
        <v>0</v>
      </c>
      <c r="M468" s="6">
        <v>0</v>
      </c>
      <c r="N468" s="7">
        <f t="shared" si="53"/>
        <v>1300</v>
      </c>
      <c r="O468" s="7">
        <v>0</v>
      </c>
      <c r="P468" s="19">
        <f>N468</f>
        <v>1300</v>
      </c>
      <c r="Q468" s="19">
        <v>0</v>
      </c>
    </row>
    <row r="469" spans="1:17" s="154" customFormat="1" ht="14.25" customHeight="1">
      <c r="A469" s="18"/>
      <c r="B469" s="18" t="s">
        <v>234</v>
      </c>
      <c r="C469" s="229" t="s">
        <v>235</v>
      </c>
      <c r="D469" s="7">
        <v>1270889</v>
      </c>
      <c r="E469" s="7">
        <v>1044649</v>
      </c>
      <c r="F469" s="7">
        <v>19143</v>
      </c>
      <c r="G469" s="7">
        <v>45000</v>
      </c>
      <c r="H469" s="7">
        <v>562350</v>
      </c>
      <c r="I469" s="7">
        <v>0</v>
      </c>
      <c r="J469" s="7">
        <v>0</v>
      </c>
      <c r="K469" s="7">
        <v>632517</v>
      </c>
      <c r="L469" s="7">
        <v>0</v>
      </c>
      <c r="M469" s="7">
        <v>71423</v>
      </c>
      <c r="N469" s="7">
        <f t="shared" si="53"/>
        <v>561094</v>
      </c>
      <c r="O469" s="7">
        <v>0</v>
      </c>
      <c r="P469" s="19">
        <f aca="true" t="shared" si="57" ref="P469:P484">N469</f>
        <v>561094</v>
      </c>
      <c r="Q469" s="19">
        <v>0</v>
      </c>
    </row>
    <row r="470" spans="1:17" s="154" customFormat="1" ht="12.75" customHeight="1">
      <c r="A470" s="18"/>
      <c r="B470" s="18" t="s">
        <v>238</v>
      </c>
      <c r="C470" s="229" t="s">
        <v>239</v>
      </c>
      <c r="D470" s="7">
        <v>95035</v>
      </c>
      <c r="E470" s="7">
        <v>92025</v>
      </c>
      <c r="F470" s="7">
        <v>0</v>
      </c>
      <c r="G470" s="7">
        <v>0</v>
      </c>
      <c r="H470" s="7">
        <v>46308</v>
      </c>
      <c r="I470" s="7">
        <v>0</v>
      </c>
      <c r="J470" s="7">
        <v>0</v>
      </c>
      <c r="K470" s="7">
        <v>42690</v>
      </c>
      <c r="L470" s="7">
        <v>0</v>
      </c>
      <c r="M470" s="7">
        <v>0</v>
      </c>
      <c r="N470" s="7">
        <f t="shared" si="53"/>
        <v>42690</v>
      </c>
      <c r="O470" s="7">
        <v>0</v>
      </c>
      <c r="P470" s="19">
        <f t="shared" si="57"/>
        <v>42690</v>
      </c>
      <c r="Q470" s="19">
        <v>0</v>
      </c>
    </row>
    <row r="471" spans="1:17" s="154" customFormat="1" ht="13.5" customHeight="1">
      <c r="A471" s="18"/>
      <c r="B471" s="30" t="s">
        <v>267</v>
      </c>
      <c r="C471" s="229" t="s">
        <v>307</v>
      </c>
      <c r="D471" s="7">
        <v>274033</v>
      </c>
      <c r="E471" s="7">
        <v>199495</v>
      </c>
      <c r="F471" s="7">
        <v>2349</v>
      </c>
      <c r="G471" s="7">
        <v>8046</v>
      </c>
      <c r="H471" s="7">
        <v>107000</v>
      </c>
      <c r="I471" s="7">
        <v>0</v>
      </c>
      <c r="J471" s="7">
        <v>0</v>
      </c>
      <c r="K471" s="7">
        <v>116600</v>
      </c>
      <c r="L471" s="7">
        <v>0</v>
      </c>
      <c r="M471" s="7">
        <v>20801</v>
      </c>
      <c r="N471" s="7">
        <f t="shared" si="53"/>
        <v>95799</v>
      </c>
      <c r="O471" s="7">
        <v>0</v>
      </c>
      <c r="P471" s="19">
        <f t="shared" si="57"/>
        <v>95799</v>
      </c>
      <c r="Q471" s="19">
        <v>0</v>
      </c>
    </row>
    <row r="472" spans="1:17" s="154" customFormat="1" ht="13.5" customHeight="1">
      <c r="A472" s="18"/>
      <c r="B472" s="30" t="s">
        <v>242</v>
      </c>
      <c r="C472" s="229" t="s">
        <v>243</v>
      </c>
      <c r="D472" s="7"/>
      <c r="E472" s="7">
        <v>27615</v>
      </c>
      <c r="F472" s="7">
        <v>321</v>
      </c>
      <c r="G472" s="7">
        <v>1102</v>
      </c>
      <c r="H472" s="7">
        <v>14660</v>
      </c>
      <c r="I472" s="7">
        <v>0</v>
      </c>
      <c r="J472" s="7">
        <v>0</v>
      </c>
      <c r="K472" s="7">
        <v>14000</v>
      </c>
      <c r="L472" s="7">
        <v>493</v>
      </c>
      <c r="M472" s="7">
        <v>0</v>
      </c>
      <c r="N472" s="7">
        <f t="shared" si="53"/>
        <v>14493</v>
      </c>
      <c r="O472" s="7">
        <v>0</v>
      </c>
      <c r="P472" s="19">
        <f t="shared" si="57"/>
        <v>14493</v>
      </c>
      <c r="Q472" s="19">
        <v>0</v>
      </c>
    </row>
    <row r="473" spans="1:17" s="154" customFormat="1" ht="14.25" customHeight="1">
      <c r="A473" s="18"/>
      <c r="B473" s="30" t="s">
        <v>244</v>
      </c>
      <c r="C473" s="229" t="s">
        <v>396</v>
      </c>
      <c r="D473" s="7"/>
      <c r="E473" s="7">
        <v>123652</v>
      </c>
      <c r="F473" s="7">
        <v>12612</v>
      </c>
      <c r="G473" s="7">
        <v>0</v>
      </c>
      <c r="H473" s="7">
        <v>114868</v>
      </c>
      <c r="I473" s="7">
        <v>0</v>
      </c>
      <c r="J473" s="7">
        <v>0</v>
      </c>
      <c r="K473" s="7">
        <v>89067</v>
      </c>
      <c r="L473" s="7">
        <v>43600</v>
      </c>
      <c r="M473" s="7">
        <v>584</v>
      </c>
      <c r="N473" s="7">
        <f t="shared" si="53"/>
        <v>132083</v>
      </c>
      <c r="O473" s="7">
        <v>0</v>
      </c>
      <c r="P473" s="19">
        <f t="shared" si="57"/>
        <v>132083</v>
      </c>
      <c r="Q473" s="19">
        <v>0</v>
      </c>
    </row>
    <row r="474" spans="1:17" s="154" customFormat="1" ht="15" customHeight="1">
      <c r="A474" s="18"/>
      <c r="B474" s="30" t="s">
        <v>346</v>
      </c>
      <c r="C474" s="229" t="s">
        <v>437</v>
      </c>
      <c r="D474" s="7"/>
      <c r="E474" s="7">
        <v>145078</v>
      </c>
      <c r="F474" s="7">
        <v>0</v>
      </c>
      <c r="G474" s="7">
        <v>20000</v>
      </c>
      <c r="H474" s="7">
        <v>57000</v>
      </c>
      <c r="I474" s="7">
        <v>0</v>
      </c>
      <c r="J474" s="7">
        <v>0</v>
      </c>
      <c r="K474" s="7">
        <v>60000</v>
      </c>
      <c r="L474" s="7">
        <v>0</v>
      </c>
      <c r="M474" s="7">
        <v>0</v>
      </c>
      <c r="N474" s="7">
        <f t="shared" si="53"/>
        <v>60000</v>
      </c>
      <c r="O474" s="7">
        <v>0</v>
      </c>
      <c r="P474" s="19">
        <f t="shared" si="57"/>
        <v>60000</v>
      </c>
      <c r="Q474" s="19">
        <v>0</v>
      </c>
    </row>
    <row r="475" spans="1:17" s="154" customFormat="1" ht="14.25" customHeight="1">
      <c r="A475" s="18"/>
      <c r="B475" s="30" t="s">
        <v>246</v>
      </c>
      <c r="C475" s="229" t="s">
        <v>350</v>
      </c>
      <c r="D475" s="7"/>
      <c r="E475" s="7">
        <v>21328</v>
      </c>
      <c r="F475" s="7">
        <v>3000</v>
      </c>
      <c r="G475" s="7">
        <v>0</v>
      </c>
      <c r="H475" s="7">
        <v>17200</v>
      </c>
      <c r="I475" s="7">
        <v>0</v>
      </c>
      <c r="J475" s="7">
        <v>0</v>
      </c>
      <c r="K475" s="7">
        <v>12000</v>
      </c>
      <c r="L475" s="7">
        <v>0</v>
      </c>
      <c r="M475" s="7">
        <v>0</v>
      </c>
      <c r="N475" s="7">
        <f t="shared" si="53"/>
        <v>12000</v>
      </c>
      <c r="O475" s="7">
        <v>0</v>
      </c>
      <c r="P475" s="19">
        <f t="shared" si="57"/>
        <v>12000</v>
      </c>
      <c r="Q475" s="19">
        <v>0</v>
      </c>
    </row>
    <row r="476" spans="1:17" s="154" customFormat="1" ht="12" customHeight="1">
      <c r="A476" s="18"/>
      <c r="B476" s="30" t="s">
        <v>248</v>
      </c>
      <c r="C476" s="229" t="s">
        <v>351</v>
      </c>
      <c r="D476" s="7"/>
      <c r="E476" s="7"/>
      <c r="F476" s="7"/>
      <c r="G476" s="7"/>
      <c r="H476" s="7"/>
      <c r="I476" s="7"/>
      <c r="J476" s="7"/>
      <c r="K476" s="7">
        <v>36810</v>
      </c>
      <c r="L476" s="7">
        <v>0</v>
      </c>
      <c r="M476" s="7">
        <v>0</v>
      </c>
      <c r="N476" s="7">
        <f t="shared" si="53"/>
        <v>36810</v>
      </c>
      <c r="O476" s="7"/>
      <c r="P476" s="19">
        <f t="shared" si="57"/>
        <v>36810</v>
      </c>
      <c r="Q476" s="19"/>
    </row>
    <row r="477" spans="1:17" s="154" customFormat="1" ht="13.5" customHeight="1">
      <c r="A477" s="18"/>
      <c r="B477" s="30" t="s">
        <v>250</v>
      </c>
      <c r="C477" s="229" t="s">
        <v>352</v>
      </c>
      <c r="D477" s="7"/>
      <c r="E477" s="7">
        <v>22737</v>
      </c>
      <c r="F477" s="7">
        <v>4000</v>
      </c>
      <c r="G477" s="7">
        <v>0</v>
      </c>
      <c r="H477" s="7">
        <v>27250</v>
      </c>
      <c r="I477" s="7">
        <v>0</v>
      </c>
      <c r="J477" s="7">
        <v>0</v>
      </c>
      <c r="K477" s="7">
        <v>26390</v>
      </c>
      <c r="L477" s="7">
        <v>2500</v>
      </c>
      <c r="M477" s="7">
        <v>0</v>
      </c>
      <c r="N477" s="7">
        <f t="shared" si="53"/>
        <v>28890</v>
      </c>
      <c r="O477" s="7">
        <v>0</v>
      </c>
      <c r="P477" s="19">
        <f t="shared" si="57"/>
        <v>28890</v>
      </c>
      <c r="Q477" s="19">
        <v>0</v>
      </c>
    </row>
    <row r="478" spans="1:17" s="154" customFormat="1" ht="14.25" customHeight="1">
      <c r="A478" s="18"/>
      <c r="B478" s="30" t="s">
        <v>252</v>
      </c>
      <c r="C478" s="229" t="s">
        <v>253</v>
      </c>
      <c r="D478" s="7"/>
      <c r="E478" s="7">
        <v>2384</v>
      </c>
      <c r="F478" s="7">
        <v>0</v>
      </c>
      <c r="G478" s="7">
        <v>800</v>
      </c>
      <c r="H478" s="7">
        <v>300</v>
      </c>
      <c r="I478" s="7">
        <v>0</v>
      </c>
      <c r="J478" s="7">
        <v>0</v>
      </c>
      <c r="K478" s="7">
        <v>3000</v>
      </c>
      <c r="L478" s="7">
        <v>75</v>
      </c>
      <c r="M478" s="7">
        <v>0</v>
      </c>
      <c r="N478" s="7">
        <f t="shared" si="53"/>
        <v>3075</v>
      </c>
      <c r="O478" s="7">
        <v>0</v>
      </c>
      <c r="P478" s="19">
        <f t="shared" si="57"/>
        <v>3075</v>
      </c>
      <c r="Q478" s="19">
        <v>0</v>
      </c>
    </row>
    <row r="479" spans="1:17" s="154" customFormat="1" ht="14.25" customHeight="1">
      <c r="A479" s="18"/>
      <c r="B479" s="30" t="s">
        <v>254</v>
      </c>
      <c r="C479" s="229" t="s">
        <v>255</v>
      </c>
      <c r="D479" s="7"/>
      <c r="E479" s="7"/>
      <c r="F479" s="7"/>
      <c r="G479" s="7"/>
      <c r="H479" s="7"/>
      <c r="I479" s="7"/>
      <c r="J479" s="7"/>
      <c r="K479" s="7">
        <v>0</v>
      </c>
      <c r="L479" s="7">
        <v>3680</v>
      </c>
      <c r="M479" s="7">
        <v>0</v>
      </c>
      <c r="N479" s="7">
        <f t="shared" si="53"/>
        <v>3680</v>
      </c>
      <c r="O479" s="7">
        <v>0</v>
      </c>
      <c r="P479" s="19">
        <f t="shared" si="57"/>
        <v>3680</v>
      </c>
      <c r="Q479" s="19">
        <v>0</v>
      </c>
    </row>
    <row r="480" spans="1:17" s="154" customFormat="1" ht="14.25" customHeight="1">
      <c r="A480" s="18"/>
      <c r="B480" s="30" t="s">
        <v>256</v>
      </c>
      <c r="C480" s="229" t="s">
        <v>257</v>
      </c>
      <c r="D480" s="7"/>
      <c r="E480" s="7">
        <v>79227</v>
      </c>
      <c r="F480" s="7">
        <v>0</v>
      </c>
      <c r="G480" s="7">
        <v>0</v>
      </c>
      <c r="H480" s="7">
        <v>31503</v>
      </c>
      <c r="I480" s="7">
        <v>0</v>
      </c>
      <c r="J480" s="7">
        <v>0</v>
      </c>
      <c r="K480" s="7">
        <v>35318</v>
      </c>
      <c r="L480" s="7">
        <v>0</v>
      </c>
      <c r="M480" s="7">
        <v>0</v>
      </c>
      <c r="N480" s="7">
        <f t="shared" si="53"/>
        <v>35318</v>
      </c>
      <c r="O480" s="7">
        <v>0</v>
      </c>
      <c r="P480" s="19">
        <f t="shared" si="57"/>
        <v>35318</v>
      </c>
      <c r="Q480" s="19">
        <v>0</v>
      </c>
    </row>
    <row r="481" spans="1:17" s="154" customFormat="1" ht="14.25" customHeight="1">
      <c r="A481" s="18"/>
      <c r="B481" s="30" t="s">
        <v>272</v>
      </c>
      <c r="C481" s="229" t="s">
        <v>273</v>
      </c>
      <c r="D481" s="7"/>
      <c r="E481" s="7"/>
      <c r="F481" s="7"/>
      <c r="G481" s="7"/>
      <c r="H481" s="7"/>
      <c r="I481" s="7"/>
      <c r="J481" s="7"/>
      <c r="K481" s="7">
        <v>358</v>
      </c>
      <c r="L481" s="7">
        <v>0</v>
      </c>
      <c r="M481" s="7">
        <v>0</v>
      </c>
      <c r="N481" s="7">
        <f t="shared" si="53"/>
        <v>358</v>
      </c>
      <c r="O481" s="7"/>
      <c r="P481" s="19">
        <f t="shared" si="57"/>
        <v>358</v>
      </c>
      <c r="Q481" s="19"/>
    </row>
    <row r="482" spans="1:17" s="154" customFormat="1" ht="14.25" customHeight="1">
      <c r="A482" s="18"/>
      <c r="B482" s="30" t="s">
        <v>355</v>
      </c>
      <c r="C482" s="229" t="s">
        <v>634</v>
      </c>
      <c r="D482" s="7"/>
      <c r="E482" s="7"/>
      <c r="F482" s="7"/>
      <c r="G482" s="7"/>
      <c r="H482" s="7"/>
      <c r="I482" s="7"/>
      <c r="J482" s="7"/>
      <c r="K482" s="7">
        <v>10924</v>
      </c>
      <c r="L482" s="7">
        <v>0</v>
      </c>
      <c r="M482" s="7">
        <v>10924</v>
      </c>
      <c r="N482" s="7">
        <f t="shared" si="53"/>
        <v>0</v>
      </c>
      <c r="O482" s="7"/>
      <c r="P482" s="19">
        <f t="shared" si="57"/>
        <v>0</v>
      </c>
      <c r="Q482" s="19"/>
    </row>
    <row r="483" spans="1:17" s="154" customFormat="1" ht="14.25" customHeight="1">
      <c r="A483" s="18"/>
      <c r="B483" s="30" t="s">
        <v>274</v>
      </c>
      <c r="C483" s="229" t="s">
        <v>552</v>
      </c>
      <c r="D483" s="7"/>
      <c r="E483" s="7"/>
      <c r="F483" s="7"/>
      <c r="G483" s="7"/>
      <c r="H483" s="7"/>
      <c r="I483" s="7"/>
      <c r="J483" s="7"/>
      <c r="K483" s="7">
        <v>367198</v>
      </c>
      <c r="L483" s="7">
        <v>0</v>
      </c>
      <c r="M483" s="7">
        <v>0</v>
      </c>
      <c r="N483" s="7">
        <f t="shared" si="53"/>
        <v>367198</v>
      </c>
      <c r="O483" s="7">
        <v>0</v>
      </c>
      <c r="P483" s="19">
        <f t="shared" si="57"/>
        <v>367198</v>
      </c>
      <c r="Q483" s="19">
        <v>0</v>
      </c>
    </row>
    <row r="484" spans="1:17" s="154" customFormat="1" ht="14.25" customHeight="1">
      <c r="A484" s="18"/>
      <c r="B484" s="30" t="s">
        <v>276</v>
      </c>
      <c r="C484" s="229" t="s">
        <v>165</v>
      </c>
      <c r="D484" s="7"/>
      <c r="E484" s="7"/>
      <c r="F484" s="7"/>
      <c r="G484" s="7"/>
      <c r="H484" s="7"/>
      <c r="I484" s="7"/>
      <c r="J484" s="7"/>
      <c r="K484" s="7">
        <v>19535</v>
      </c>
      <c r="L484" s="7">
        <v>0</v>
      </c>
      <c r="M484" s="7"/>
      <c r="N484" s="7">
        <f t="shared" si="53"/>
        <v>19535</v>
      </c>
      <c r="O484" s="7"/>
      <c r="P484" s="19">
        <f t="shared" si="57"/>
        <v>19535</v>
      </c>
      <c r="Q484" s="19"/>
    </row>
    <row r="485" spans="1:17" s="154" customFormat="1" ht="15.75" customHeight="1">
      <c r="A485" s="169" t="s">
        <v>453</v>
      </c>
      <c r="B485" s="236"/>
      <c r="C485" s="168" t="s">
        <v>454</v>
      </c>
      <c r="D485" s="140" t="e">
        <f>D487+D488+D489+#REF!</f>
        <v>#REF!</v>
      </c>
      <c r="E485" s="140" t="e">
        <f>E487+E488+E489+E490+E486+E492+E493+E494+#REF!+E495+E497+#REF!+E498</f>
        <v>#REF!</v>
      </c>
      <c r="F485" s="140" t="e">
        <f>F487+F488+F489+F490+F486+F492+F493+F494+#REF!+F495+F497+#REF!+F498</f>
        <v>#REF!</v>
      </c>
      <c r="G485" s="140" t="e">
        <f>G487+G488+G489+G490+G486+G492+G493+G494+#REF!+G495+G497+#REF!+G498</f>
        <v>#REF!</v>
      </c>
      <c r="H485" s="140" t="e">
        <f>H487+H488+H489+H490+H486+H492+H493+H494+H495+H497+#REF!+H498+H499</f>
        <v>#REF!</v>
      </c>
      <c r="I485" s="140" t="e">
        <f>I487+I488+I489+I490+I486+I492+I493+I494+I495+I497+#REF!+I498+I499</f>
        <v>#REF!</v>
      </c>
      <c r="J485" s="140" t="e">
        <f>J487+J488+J489+J490+J486+J492+J493+J494+J495+J497+#REF!+J498+J499</f>
        <v>#REF!</v>
      </c>
      <c r="K485" s="140">
        <f>SUM(K486:K500)</f>
        <v>435482</v>
      </c>
      <c r="L485" s="140">
        <f>SUM(L486:L500)</f>
        <v>8767</v>
      </c>
      <c r="M485" s="140">
        <f>SUM(M486:M500)</f>
        <v>8767</v>
      </c>
      <c r="N485" s="140">
        <f aca="true" t="shared" si="58" ref="N485:N549">K485+L485-M485</f>
        <v>435482</v>
      </c>
      <c r="O485" s="140">
        <f>SUM(O486:O500)</f>
        <v>0</v>
      </c>
      <c r="P485" s="140">
        <f>SUM(P486:P500)</f>
        <v>435482</v>
      </c>
      <c r="Q485" s="140">
        <f>SUM(Q486:Q499)</f>
        <v>0</v>
      </c>
    </row>
    <row r="486" spans="1:17" s="154" customFormat="1" ht="12.75" customHeight="1">
      <c r="A486" s="18"/>
      <c r="B486" s="30" t="s">
        <v>218</v>
      </c>
      <c r="C486" s="229" t="s">
        <v>399</v>
      </c>
      <c r="D486" s="7"/>
      <c r="E486" s="7">
        <v>4293</v>
      </c>
      <c r="F486" s="7">
        <v>0</v>
      </c>
      <c r="G486" s="7">
        <v>0</v>
      </c>
      <c r="H486" s="7">
        <v>3580</v>
      </c>
      <c r="I486" s="7">
        <v>0</v>
      </c>
      <c r="J486" s="7">
        <v>0</v>
      </c>
      <c r="K486" s="7">
        <v>220</v>
      </c>
      <c r="L486" s="7">
        <v>0</v>
      </c>
      <c r="M486" s="7">
        <v>0</v>
      </c>
      <c r="N486" s="7">
        <f t="shared" si="58"/>
        <v>220</v>
      </c>
      <c r="O486" s="7">
        <v>0</v>
      </c>
      <c r="P486" s="19">
        <f>N486</f>
        <v>220</v>
      </c>
      <c r="Q486" s="19">
        <v>0</v>
      </c>
    </row>
    <row r="487" spans="1:17" s="154" customFormat="1" ht="12" customHeight="1">
      <c r="A487" s="18"/>
      <c r="B487" s="18" t="s">
        <v>234</v>
      </c>
      <c r="C487" s="229" t="s">
        <v>166</v>
      </c>
      <c r="D487" s="7">
        <v>338872</v>
      </c>
      <c r="E487" s="7">
        <v>347249</v>
      </c>
      <c r="F487" s="7">
        <v>4011</v>
      </c>
      <c r="G487" s="7">
        <v>5633</v>
      </c>
      <c r="H487" s="15">
        <v>240145</v>
      </c>
      <c r="I487" s="15">
        <v>0</v>
      </c>
      <c r="J487" s="15">
        <v>0</v>
      </c>
      <c r="K487" s="7">
        <v>284487</v>
      </c>
      <c r="L487" s="7">
        <v>0</v>
      </c>
      <c r="M487" s="15">
        <v>5447</v>
      </c>
      <c r="N487" s="7">
        <f t="shared" si="58"/>
        <v>279040</v>
      </c>
      <c r="O487" s="7">
        <v>0</v>
      </c>
      <c r="P487" s="19">
        <f aca="true" t="shared" si="59" ref="P487:P500">N487</f>
        <v>279040</v>
      </c>
      <c r="Q487" s="19">
        <v>0</v>
      </c>
    </row>
    <row r="488" spans="1:17" s="154" customFormat="1" ht="12.75" customHeight="1">
      <c r="A488" s="18"/>
      <c r="B488" s="18" t="s">
        <v>238</v>
      </c>
      <c r="C488" s="229" t="s">
        <v>239</v>
      </c>
      <c r="D488" s="7">
        <v>22404</v>
      </c>
      <c r="E488" s="7">
        <v>26837</v>
      </c>
      <c r="F488" s="7">
        <v>0</v>
      </c>
      <c r="G488" s="7">
        <v>0</v>
      </c>
      <c r="H488" s="7">
        <v>17713</v>
      </c>
      <c r="I488" s="7">
        <v>0</v>
      </c>
      <c r="J488" s="7">
        <v>0</v>
      </c>
      <c r="K488" s="7">
        <v>21997</v>
      </c>
      <c r="L488" s="7">
        <v>0</v>
      </c>
      <c r="M488" s="7">
        <v>0</v>
      </c>
      <c r="N488" s="7">
        <f t="shared" si="58"/>
        <v>21997</v>
      </c>
      <c r="O488" s="7">
        <v>0</v>
      </c>
      <c r="P488" s="19">
        <f t="shared" si="59"/>
        <v>21997</v>
      </c>
      <c r="Q488" s="19">
        <v>0</v>
      </c>
    </row>
    <row r="489" spans="1:17" s="154" customFormat="1" ht="12.75" customHeight="1">
      <c r="A489" s="18"/>
      <c r="B489" s="30" t="s">
        <v>293</v>
      </c>
      <c r="C489" s="229" t="s">
        <v>307</v>
      </c>
      <c r="D489" s="7">
        <v>73812</v>
      </c>
      <c r="E489" s="7">
        <v>65930</v>
      </c>
      <c r="F489" s="7">
        <v>360</v>
      </c>
      <c r="G489" s="7">
        <v>1005</v>
      </c>
      <c r="H489" s="7">
        <v>45324</v>
      </c>
      <c r="I489" s="7">
        <v>0</v>
      </c>
      <c r="J489" s="7">
        <v>0</v>
      </c>
      <c r="K489" s="7">
        <v>52867</v>
      </c>
      <c r="L489" s="7">
        <v>0</v>
      </c>
      <c r="M489" s="7">
        <v>1225</v>
      </c>
      <c r="N489" s="7">
        <f t="shared" si="58"/>
        <v>51642</v>
      </c>
      <c r="O489" s="7">
        <v>0</v>
      </c>
      <c r="P489" s="19">
        <f t="shared" si="59"/>
        <v>51642</v>
      </c>
      <c r="Q489" s="19">
        <v>0</v>
      </c>
    </row>
    <row r="490" spans="1:17" s="154" customFormat="1" ht="12.75" customHeight="1">
      <c r="A490" s="18"/>
      <c r="B490" s="30" t="s">
        <v>242</v>
      </c>
      <c r="C490" s="229" t="s">
        <v>243</v>
      </c>
      <c r="D490" s="7"/>
      <c r="E490" s="7">
        <v>9068</v>
      </c>
      <c r="F490" s="7">
        <v>49</v>
      </c>
      <c r="G490" s="7">
        <v>138</v>
      </c>
      <c r="H490" s="7">
        <v>6263</v>
      </c>
      <c r="I490" s="7">
        <v>0</v>
      </c>
      <c r="J490" s="7">
        <v>0</v>
      </c>
      <c r="K490" s="7">
        <v>7651</v>
      </c>
      <c r="L490" s="7">
        <v>0</v>
      </c>
      <c r="M490" s="7">
        <v>452</v>
      </c>
      <c r="N490" s="7">
        <f t="shared" si="58"/>
        <v>7199</v>
      </c>
      <c r="O490" s="7">
        <v>0</v>
      </c>
      <c r="P490" s="19">
        <f t="shared" si="59"/>
        <v>7199</v>
      </c>
      <c r="Q490" s="19">
        <v>0</v>
      </c>
    </row>
    <row r="491" spans="1:17" s="154" customFormat="1" ht="12" customHeight="1">
      <c r="A491" s="18"/>
      <c r="B491" s="30" t="s">
        <v>97</v>
      </c>
      <c r="C491" s="229" t="s">
        <v>109</v>
      </c>
      <c r="D491" s="7"/>
      <c r="E491" s="7"/>
      <c r="F491" s="7"/>
      <c r="G491" s="7"/>
      <c r="H491" s="7"/>
      <c r="I491" s="7"/>
      <c r="J491" s="7"/>
      <c r="K491" s="7">
        <v>1000</v>
      </c>
      <c r="L491" s="7">
        <v>0</v>
      </c>
      <c r="M491" s="7">
        <v>0</v>
      </c>
      <c r="N491" s="7">
        <f t="shared" si="58"/>
        <v>1000</v>
      </c>
      <c r="O491" s="7">
        <v>0</v>
      </c>
      <c r="P491" s="19">
        <f t="shared" si="59"/>
        <v>1000</v>
      </c>
      <c r="Q491" s="19">
        <v>0</v>
      </c>
    </row>
    <row r="492" spans="1:17" s="154" customFormat="1" ht="13.5" customHeight="1">
      <c r="A492" s="18"/>
      <c r="B492" s="30" t="s">
        <v>244</v>
      </c>
      <c r="C492" s="229" t="s">
        <v>396</v>
      </c>
      <c r="D492" s="7"/>
      <c r="E492" s="7">
        <v>17339</v>
      </c>
      <c r="F492" s="7">
        <v>5526</v>
      </c>
      <c r="G492" s="7">
        <v>0</v>
      </c>
      <c r="H492" s="7">
        <v>25571</v>
      </c>
      <c r="I492" s="7">
        <v>0</v>
      </c>
      <c r="J492" s="7">
        <v>0</v>
      </c>
      <c r="K492" s="7">
        <v>24692</v>
      </c>
      <c r="L492" s="7">
        <v>8617</v>
      </c>
      <c r="M492" s="7">
        <v>0</v>
      </c>
      <c r="N492" s="7">
        <f t="shared" si="58"/>
        <v>33309</v>
      </c>
      <c r="O492" s="7">
        <v>0</v>
      </c>
      <c r="P492" s="19">
        <f t="shared" si="59"/>
        <v>33309</v>
      </c>
      <c r="Q492" s="19">
        <v>0</v>
      </c>
    </row>
    <row r="493" spans="1:17" s="154" customFormat="1" ht="12.75" customHeight="1">
      <c r="A493" s="18"/>
      <c r="B493" s="30" t="s">
        <v>389</v>
      </c>
      <c r="C493" s="229" t="s">
        <v>438</v>
      </c>
      <c r="D493" s="7"/>
      <c r="E493" s="7">
        <v>4149</v>
      </c>
      <c r="F493" s="7">
        <v>0</v>
      </c>
      <c r="G493" s="7">
        <v>0</v>
      </c>
      <c r="H493" s="7">
        <v>1500</v>
      </c>
      <c r="I493" s="7">
        <v>0</v>
      </c>
      <c r="J493" s="7">
        <v>0</v>
      </c>
      <c r="K493" s="7">
        <v>6380</v>
      </c>
      <c r="L493" s="7">
        <v>0</v>
      </c>
      <c r="M493" s="7">
        <v>0</v>
      </c>
      <c r="N493" s="7">
        <f t="shared" si="58"/>
        <v>6380</v>
      </c>
      <c r="O493" s="7">
        <v>0</v>
      </c>
      <c r="P493" s="19">
        <f t="shared" si="59"/>
        <v>6380</v>
      </c>
      <c r="Q493" s="19">
        <v>0</v>
      </c>
    </row>
    <row r="494" spans="1:17" s="154" customFormat="1" ht="15" customHeight="1">
      <c r="A494" s="18"/>
      <c r="B494" s="30" t="s">
        <v>246</v>
      </c>
      <c r="C494" s="229" t="s">
        <v>350</v>
      </c>
      <c r="D494" s="7"/>
      <c r="E494" s="7">
        <v>4365</v>
      </c>
      <c r="F494" s="7">
        <v>350</v>
      </c>
      <c r="G494" s="7">
        <v>0</v>
      </c>
      <c r="H494" s="7">
        <v>3966</v>
      </c>
      <c r="I494" s="7">
        <v>0</v>
      </c>
      <c r="J494" s="7">
        <v>0</v>
      </c>
      <c r="K494" s="7">
        <v>4600</v>
      </c>
      <c r="L494" s="7">
        <v>0</v>
      </c>
      <c r="M494" s="7">
        <v>101</v>
      </c>
      <c r="N494" s="78">
        <f>K494+L494-M494</f>
        <v>4499</v>
      </c>
      <c r="O494" s="7">
        <v>0</v>
      </c>
      <c r="P494" s="19">
        <f t="shared" si="59"/>
        <v>4499</v>
      </c>
      <c r="Q494" s="19">
        <v>0</v>
      </c>
    </row>
    <row r="495" spans="1:17" s="154" customFormat="1" ht="14.25" customHeight="1">
      <c r="A495" s="18"/>
      <c r="B495" s="30" t="s">
        <v>250</v>
      </c>
      <c r="C495" s="229" t="s">
        <v>352</v>
      </c>
      <c r="D495" s="7"/>
      <c r="E495" s="7">
        <v>6136</v>
      </c>
      <c r="F495" s="7">
        <v>800</v>
      </c>
      <c r="G495" s="7">
        <v>0</v>
      </c>
      <c r="H495" s="7">
        <v>6503</v>
      </c>
      <c r="I495" s="7">
        <v>0</v>
      </c>
      <c r="J495" s="7">
        <v>0</v>
      </c>
      <c r="K495" s="7">
        <v>9675</v>
      </c>
      <c r="L495" s="7">
        <v>0</v>
      </c>
      <c r="M495" s="7">
        <v>1341</v>
      </c>
      <c r="N495" s="7">
        <f t="shared" si="58"/>
        <v>8334</v>
      </c>
      <c r="O495" s="7">
        <v>0</v>
      </c>
      <c r="P495" s="19">
        <f t="shared" si="59"/>
        <v>8334</v>
      </c>
      <c r="Q495" s="19">
        <v>0</v>
      </c>
    </row>
    <row r="496" spans="1:17" s="154" customFormat="1" ht="13.5" customHeight="1">
      <c r="A496" s="18"/>
      <c r="B496" s="30" t="s">
        <v>110</v>
      </c>
      <c r="C496" s="229" t="s">
        <v>626</v>
      </c>
      <c r="D496" s="7"/>
      <c r="E496" s="7"/>
      <c r="F496" s="7"/>
      <c r="G496" s="7"/>
      <c r="H496" s="7"/>
      <c r="I496" s="7"/>
      <c r="J496" s="7"/>
      <c r="K496" s="7">
        <v>1130</v>
      </c>
      <c r="L496" s="7">
        <v>0</v>
      </c>
      <c r="M496" s="7">
        <v>201</v>
      </c>
      <c r="N496" s="7">
        <f t="shared" si="58"/>
        <v>929</v>
      </c>
      <c r="O496" s="7">
        <v>0</v>
      </c>
      <c r="P496" s="19">
        <f t="shared" si="59"/>
        <v>929</v>
      </c>
      <c r="Q496" s="19">
        <v>0</v>
      </c>
    </row>
    <row r="497" spans="1:17" s="154" customFormat="1" ht="13.5" customHeight="1">
      <c r="A497" s="18"/>
      <c r="B497" s="30" t="s">
        <v>252</v>
      </c>
      <c r="C497" s="229" t="s">
        <v>253</v>
      </c>
      <c r="D497" s="7"/>
      <c r="E497" s="7">
        <v>1250</v>
      </c>
      <c r="F497" s="7">
        <v>100</v>
      </c>
      <c r="G497" s="7">
        <v>0</v>
      </c>
      <c r="H497" s="7">
        <v>2500</v>
      </c>
      <c r="I497" s="7">
        <v>0</v>
      </c>
      <c r="J497" s="7">
        <v>0</v>
      </c>
      <c r="K497" s="7">
        <v>3600</v>
      </c>
      <c r="L497" s="7">
        <v>150</v>
      </c>
      <c r="M497" s="7">
        <v>0</v>
      </c>
      <c r="N497" s="7">
        <f t="shared" si="58"/>
        <v>3750</v>
      </c>
      <c r="O497" s="7">
        <v>0</v>
      </c>
      <c r="P497" s="19">
        <f t="shared" si="59"/>
        <v>3750</v>
      </c>
      <c r="Q497" s="19">
        <v>0</v>
      </c>
    </row>
    <row r="498" spans="1:17" s="154" customFormat="1" ht="14.25" customHeight="1">
      <c r="A498" s="18"/>
      <c r="B498" s="18" t="s">
        <v>256</v>
      </c>
      <c r="C498" s="229" t="s">
        <v>257</v>
      </c>
      <c r="D498" s="7"/>
      <c r="E498" s="7">
        <v>21517</v>
      </c>
      <c r="F498" s="7">
        <v>0</v>
      </c>
      <c r="G498" s="7">
        <v>0</v>
      </c>
      <c r="H498" s="7">
        <v>11800</v>
      </c>
      <c r="I498" s="7">
        <v>0</v>
      </c>
      <c r="J498" s="7">
        <v>0</v>
      </c>
      <c r="K498" s="7">
        <v>16560</v>
      </c>
      <c r="L498" s="7">
        <v>0</v>
      </c>
      <c r="M498" s="7">
        <v>0</v>
      </c>
      <c r="N498" s="7">
        <f t="shared" si="58"/>
        <v>16560</v>
      </c>
      <c r="O498" s="7">
        <v>0</v>
      </c>
      <c r="P498" s="19">
        <f t="shared" si="59"/>
        <v>16560</v>
      </c>
      <c r="Q498" s="19">
        <v>0</v>
      </c>
    </row>
    <row r="499" spans="1:17" s="154" customFormat="1" ht="12" customHeight="1">
      <c r="A499" s="18"/>
      <c r="B499" s="18" t="s">
        <v>272</v>
      </c>
      <c r="C499" s="229" t="s">
        <v>273</v>
      </c>
      <c r="D499" s="7"/>
      <c r="E499" s="7"/>
      <c r="F499" s="7"/>
      <c r="G499" s="7"/>
      <c r="H499" s="7">
        <v>1217</v>
      </c>
      <c r="I499" s="7">
        <v>0</v>
      </c>
      <c r="J499" s="7">
        <v>0</v>
      </c>
      <c r="K499" s="7">
        <v>623</v>
      </c>
      <c r="L499" s="7">
        <v>0</v>
      </c>
      <c r="M499" s="7">
        <v>0</v>
      </c>
      <c r="N499" s="7">
        <f t="shared" si="58"/>
        <v>623</v>
      </c>
      <c r="O499" s="7">
        <v>0</v>
      </c>
      <c r="P499" s="19">
        <f t="shared" si="59"/>
        <v>623</v>
      </c>
      <c r="Q499" s="19">
        <v>0</v>
      </c>
    </row>
    <row r="500" spans="1:17" s="154" customFormat="1" ht="12" customHeight="1">
      <c r="A500" s="18"/>
      <c r="B500" s="18" t="s">
        <v>355</v>
      </c>
      <c r="C500" s="229" t="s">
        <v>634</v>
      </c>
      <c r="D500" s="7"/>
      <c r="E500" s="7"/>
      <c r="F500" s="7"/>
      <c r="G500" s="7"/>
      <c r="H500" s="7"/>
      <c r="I500" s="7"/>
      <c r="J500" s="7"/>
      <c r="K500" s="7">
        <v>0</v>
      </c>
      <c r="L500" s="7"/>
      <c r="M500" s="7"/>
      <c r="N500" s="7">
        <f t="shared" si="58"/>
        <v>0</v>
      </c>
      <c r="O500" s="7"/>
      <c r="P500" s="19">
        <f t="shared" si="59"/>
        <v>0</v>
      </c>
      <c r="Q500" s="19"/>
    </row>
    <row r="501" spans="1:17" s="154" customFormat="1" ht="21" customHeight="1">
      <c r="A501" s="169" t="s">
        <v>455</v>
      </c>
      <c r="B501" s="169"/>
      <c r="C501" s="168" t="s">
        <v>456</v>
      </c>
      <c r="D501" s="140" t="e">
        <f>D503+D504+D505+#REF!+#REF!</f>
        <v>#REF!</v>
      </c>
      <c r="E501" s="140" t="e">
        <f>E503+E504+E505+E506+E502+#REF!+#REF!+#REF!+#REF!+#REF!+#REF!+#REF!+#REF!</f>
        <v>#REF!</v>
      </c>
      <c r="F501" s="140" t="e">
        <f>F503+F504+F505+F506+F502+#REF!+#REF!+#REF!+#REF!+#REF!+#REF!+#REF!+#REF!</f>
        <v>#REF!</v>
      </c>
      <c r="G501" s="140" t="e">
        <f>G503+G504+G505+G506+G502+#REF!+#REF!+#REF!+#REF!+#REF!+#REF!+#REF!+#REF!</f>
        <v>#REF!</v>
      </c>
      <c r="H501" s="140" t="e">
        <f>H503+H504+H505+H506+H502+#REF!+H508+H509+H512+H513+H514+#REF!</f>
        <v>#REF!</v>
      </c>
      <c r="I501" s="140" t="e">
        <f>I503+I504+I505+I506+I502+#REF!+I508+I509+I512+I513+I514</f>
        <v>#REF!</v>
      </c>
      <c r="J501" s="140" t="e">
        <f>J503+J504+J505+J506+J502+#REF!+J508+J509+J512+J513+J514</f>
        <v>#REF!</v>
      </c>
      <c r="K501" s="140">
        <f>SUM(K502:K518)</f>
        <v>1715762</v>
      </c>
      <c r="L501" s="140">
        <f>SUM(L502:L518)</f>
        <v>39696</v>
      </c>
      <c r="M501" s="140">
        <f>SUM(M502:M518)</f>
        <v>63314</v>
      </c>
      <c r="N501" s="140">
        <f t="shared" si="58"/>
        <v>1692144</v>
      </c>
      <c r="O501" s="140">
        <f>SUM(O502:O518)</f>
        <v>0</v>
      </c>
      <c r="P501" s="140">
        <f>SUM(P502:P518)</f>
        <v>1692144</v>
      </c>
      <c r="Q501" s="140">
        <f>SUM(Q502:Q518)</f>
        <v>0</v>
      </c>
    </row>
    <row r="502" spans="1:17" s="154" customFormat="1" ht="12" customHeight="1">
      <c r="A502" s="18"/>
      <c r="B502" s="30" t="s">
        <v>218</v>
      </c>
      <c r="C502" s="229" t="s">
        <v>399</v>
      </c>
      <c r="D502" s="7"/>
      <c r="E502" s="7">
        <v>1600</v>
      </c>
      <c r="F502" s="7">
        <v>0</v>
      </c>
      <c r="G502" s="7">
        <v>140</v>
      </c>
      <c r="H502" s="15">
        <v>2734</v>
      </c>
      <c r="I502" s="15">
        <v>0</v>
      </c>
      <c r="J502" s="15">
        <v>0</v>
      </c>
      <c r="K502" s="7">
        <v>2734</v>
      </c>
      <c r="L502" s="7">
        <v>0</v>
      </c>
      <c r="M502" s="15">
        <v>87</v>
      </c>
      <c r="N502" s="7">
        <f t="shared" si="58"/>
        <v>2647</v>
      </c>
      <c r="O502" s="7">
        <v>0</v>
      </c>
      <c r="P502" s="19">
        <f>N502</f>
        <v>2647</v>
      </c>
      <c r="Q502" s="19">
        <v>0</v>
      </c>
    </row>
    <row r="503" spans="1:17" s="154" customFormat="1" ht="12.75" customHeight="1">
      <c r="A503" s="18"/>
      <c r="B503" s="18" t="s">
        <v>234</v>
      </c>
      <c r="C503" s="229" t="s">
        <v>235</v>
      </c>
      <c r="D503" s="7">
        <v>760149</v>
      </c>
      <c r="E503" s="7">
        <v>761652</v>
      </c>
      <c r="F503" s="7">
        <v>1187</v>
      </c>
      <c r="G503" s="7">
        <v>0</v>
      </c>
      <c r="H503" s="7">
        <v>374354</v>
      </c>
      <c r="I503" s="7">
        <v>0</v>
      </c>
      <c r="J503" s="7">
        <v>0</v>
      </c>
      <c r="K503" s="7">
        <v>511424</v>
      </c>
      <c r="L503" s="7">
        <v>837</v>
      </c>
      <c r="M503" s="7">
        <v>14561</v>
      </c>
      <c r="N503" s="7">
        <f t="shared" si="58"/>
        <v>497700</v>
      </c>
      <c r="O503" s="7">
        <v>0</v>
      </c>
      <c r="P503" s="19">
        <f aca="true" t="shared" si="60" ref="P503:P518">N503</f>
        <v>497700</v>
      </c>
      <c r="Q503" s="19">
        <v>0</v>
      </c>
    </row>
    <row r="504" spans="1:17" s="154" customFormat="1" ht="11.25" customHeight="1">
      <c r="A504" s="18"/>
      <c r="B504" s="18" t="s">
        <v>238</v>
      </c>
      <c r="C504" s="229" t="s">
        <v>239</v>
      </c>
      <c r="D504" s="7">
        <v>56427</v>
      </c>
      <c r="E504" s="7">
        <v>62354</v>
      </c>
      <c r="F504" s="7">
        <v>0</v>
      </c>
      <c r="G504" s="7">
        <v>0</v>
      </c>
      <c r="H504" s="15">
        <v>32155</v>
      </c>
      <c r="I504" s="15">
        <v>0</v>
      </c>
      <c r="J504" s="15">
        <v>0</v>
      </c>
      <c r="K504" s="7">
        <v>41880</v>
      </c>
      <c r="L504" s="7">
        <v>0</v>
      </c>
      <c r="M504" s="15">
        <v>1</v>
      </c>
      <c r="N504" s="7">
        <f t="shared" si="58"/>
        <v>41879</v>
      </c>
      <c r="O504" s="7">
        <v>0</v>
      </c>
      <c r="P504" s="19">
        <f t="shared" si="60"/>
        <v>41879</v>
      </c>
      <c r="Q504" s="19">
        <v>0</v>
      </c>
    </row>
    <row r="505" spans="1:17" s="154" customFormat="1" ht="13.5" customHeight="1">
      <c r="A505" s="18"/>
      <c r="B505" s="30" t="s">
        <v>293</v>
      </c>
      <c r="C505" s="229" t="s">
        <v>268</v>
      </c>
      <c r="D505" s="7">
        <v>162435</v>
      </c>
      <c r="E505" s="7">
        <v>143919</v>
      </c>
      <c r="F505" s="7">
        <v>212</v>
      </c>
      <c r="G505" s="7">
        <v>0</v>
      </c>
      <c r="H505" s="15">
        <v>69400</v>
      </c>
      <c r="I505" s="15">
        <v>0</v>
      </c>
      <c r="J505" s="15">
        <v>0</v>
      </c>
      <c r="K505" s="7">
        <v>92378</v>
      </c>
      <c r="L505" s="7">
        <v>1617</v>
      </c>
      <c r="M505" s="15">
        <v>1654</v>
      </c>
      <c r="N505" s="7">
        <f t="shared" si="58"/>
        <v>92341</v>
      </c>
      <c r="O505" s="7">
        <v>0</v>
      </c>
      <c r="P505" s="19">
        <f t="shared" si="60"/>
        <v>92341</v>
      </c>
      <c r="Q505" s="19">
        <v>0</v>
      </c>
    </row>
    <row r="506" spans="1:17" s="154" customFormat="1" ht="14.25" customHeight="1">
      <c r="A506" s="18"/>
      <c r="B506" s="30" t="s">
        <v>242</v>
      </c>
      <c r="C506" s="229" t="s">
        <v>243</v>
      </c>
      <c r="D506" s="7"/>
      <c r="E506" s="7">
        <v>19637</v>
      </c>
      <c r="F506" s="7">
        <v>29</v>
      </c>
      <c r="G506" s="7">
        <v>0</v>
      </c>
      <c r="H506" s="15">
        <v>9470</v>
      </c>
      <c r="I506" s="15">
        <v>0</v>
      </c>
      <c r="J506" s="15">
        <v>0</v>
      </c>
      <c r="K506" s="7">
        <v>12520</v>
      </c>
      <c r="L506" s="7">
        <v>277</v>
      </c>
      <c r="M506" s="15"/>
      <c r="N506" s="7">
        <f t="shared" si="58"/>
        <v>12797</v>
      </c>
      <c r="O506" s="7">
        <v>0</v>
      </c>
      <c r="P506" s="19">
        <f t="shared" si="60"/>
        <v>12797</v>
      </c>
      <c r="Q506" s="19">
        <v>0</v>
      </c>
    </row>
    <row r="507" spans="1:17" s="154" customFormat="1" ht="13.5" customHeight="1">
      <c r="A507" s="18"/>
      <c r="B507" s="30" t="s">
        <v>97</v>
      </c>
      <c r="C507" s="229" t="s">
        <v>109</v>
      </c>
      <c r="D507" s="7"/>
      <c r="E507" s="7"/>
      <c r="F507" s="7"/>
      <c r="G507" s="7"/>
      <c r="H507" s="15"/>
      <c r="I507" s="15"/>
      <c r="J507" s="15"/>
      <c r="K507" s="7">
        <v>5000</v>
      </c>
      <c r="L507" s="7">
        <v>0</v>
      </c>
      <c r="M507" s="15">
        <v>2262</v>
      </c>
      <c r="N507" s="7">
        <f t="shared" si="58"/>
        <v>2738</v>
      </c>
      <c r="O507" s="7">
        <v>0</v>
      </c>
      <c r="P507" s="19">
        <f t="shared" si="60"/>
        <v>2738</v>
      </c>
      <c r="Q507" s="19">
        <v>0</v>
      </c>
    </row>
    <row r="508" spans="1:17" s="154" customFormat="1" ht="13.5" customHeight="1">
      <c r="A508" s="18"/>
      <c r="B508" s="30" t="s">
        <v>244</v>
      </c>
      <c r="C508" s="229" t="s">
        <v>271</v>
      </c>
      <c r="D508" s="7">
        <v>200</v>
      </c>
      <c r="E508" s="7">
        <v>0</v>
      </c>
      <c r="F508" s="7"/>
      <c r="G508" s="7"/>
      <c r="H508" s="15">
        <v>275062</v>
      </c>
      <c r="I508" s="15">
        <v>0</v>
      </c>
      <c r="J508" s="15">
        <v>0</v>
      </c>
      <c r="K508" s="7">
        <v>346669</v>
      </c>
      <c r="L508" s="7">
        <v>35346</v>
      </c>
      <c r="M508" s="15">
        <v>12625</v>
      </c>
      <c r="N508" s="7">
        <f t="shared" si="58"/>
        <v>369390</v>
      </c>
      <c r="O508" s="7">
        <v>0</v>
      </c>
      <c r="P508" s="19">
        <f t="shared" si="60"/>
        <v>369390</v>
      </c>
      <c r="Q508" s="19">
        <v>0</v>
      </c>
    </row>
    <row r="509" spans="1:17" s="154" customFormat="1" ht="13.5" customHeight="1">
      <c r="A509" s="18"/>
      <c r="B509" s="30" t="s">
        <v>246</v>
      </c>
      <c r="C509" s="229" t="s">
        <v>350</v>
      </c>
      <c r="D509" s="7"/>
      <c r="E509" s="7"/>
      <c r="F509" s="7"/>
      <c r="G509" s="7"/>
      <c r="H509" s="15">
        <v>85600</v>
      </c>
      <c r="I509" s="15">
        <v>0</v>
      </c>
      <c r="J509" s="15">
        <v>0</v>
      </c>
      <c r="K509" s="7">
        <v>74954</v>
      </c>
      <c r="L509" s="7">
        <v>1619</v>
      </c>
      <c r="M509" s="15">
        <v>16475</v>
      </c>
      <c r="N509" s="7">
        <f t="shared" si="58"/>
        <v>60098</v>
      </c>
      <c r="O509" s="7">
        <v>0</v>
      </c>
      <c r="P509" s="19">
        <f t="shared" si="60"/>
        <v>60098</v>
      </c>
      <c r="Q509" s="19">
        <v>0</v>
      </c>
    </row>
    <row r="510" spans="1:17" s="154" customFormat="1" ht="13.5" customHeight="1">
      <c r="A510" s="18"/>
      <c r="B510" s="30" t="s">
        <v>248</v>
      </c>
      <c r="C510" s="229" t="s">
        <v>351</v>
      </c>
      <c r="D510" s="7"/>
      <c r="E510" s="7"/>
      <c r="F510" s="7"/>
      <c r="G510" s="7"/>
      <c r="H510" s="15"/>
      <c r="I510" s="15"/>
      <c r="J510" s="15"/>
      <c r="K510" s="7">
        <v>69126</v>
      </c>
      <c r="L510" s="7">
        <v>0</v>
      </c>
      <c r="M510" s="15">
        <v>584</v>
      </c>
      <c r="N510" s="7">
        <f t="shared" si="58"/>
        <v>68542</v>
      </c>
      <c r="O510" s="7"/>
      <c r="P510" s="19">
        <f t="shared" si="60"/>
        <v>68542</v>
      </c>
      <c r="Q510" s="19"/>
    </row>
    <row r="511" spans="1:17" s="154" customFormat="1" ht="13.5" customHeight="1">
      <c r="A511" s="18"/>
      <c r="B511" s="30" t="s">
        <v>314</v>
      </c>
      <c r="C511" s="229" t="s">
        <v>315</v>
      </c>
      <c r="D511" s="7"/>
      <c r="E511" s="7"/>
      <c r="F511" s="7"/>
      <c r="G511" s="7"/>
      <c r="H511" s="15"/>
      <c r="I511" s="15"/>
      <c r="J511" s="15"/>
      <c r="K511" s="7">
        <v>660</v>
      </c>
      <c r="L511" s="7">
        <v>0</v>
      </c>
      <c r="M511" s="15">
        <v>305</v>
      </c>
      <c r="N511" s="7">
        <f t="shared" si="58"/>
        <v>355</v>
      </c>
      <c r="O511" s="7">
        <v>0</v>
      </c>
      <c r="P511" s="19">
        <f t="shared" si="60"/>
        <v>355</v>
      </c>
      <c r="Q511" s="19">
        <v>0</v>
      </c>
    </row>
    <row r="512" spans="1:17" s="154" customFormat="1" ht="13.5" customHeight="1">
      <c r="A512" s="18"/>
      <c r="B512" s="30" t="s">
        <v>250</v>
      </c>
      <c r="C512" s="229" t="s">
        <v>352</v>
      </c>
      <c r="D512" s="7"/>
      <c r="E512" s="7"/>
      <c r="F512" s="7"/>
      <c r="G512" s="7"/>
      <c r="H512" s="15">
        <v>39410</v>
      </c>
      <c r="I512" s="15">
        <v>0</v>
      </c>
      <c r="J512" s="15">
        <v>0</v>
      </c>
      <c r="K512" s="7">
        <v>34763</v>
      </c>
      <c r="L512" s="7">
        <v>0</v>
      </c>
      <c r="M512" s="15">
        <v>2834</v>
      </c>
      <c r="N512" s="7">
        <f t="shared" si="58"/>
        <v>31929</v>
      </c>
      <c r="O512" s="7">
        <v>0</v>
      </c>
      <c r="P512" s="19">
        <f t="shared" si="60"/>
        <v>31929</v>
      </c>
      <c r="Q512" s="19">
        <v>0</v>
      </c>
    </row>
    <row r="513" spans="1:17" s="154" customFormat="1" ht="13.5" customHeight="1">
      <c r="A513" s="18"/>
      <c r="B513" s="30" t="s">
        <v>256</v>
      </c>
      <c r="C513" s="229" t="s">
        <v>257</v>
      </c>
      <c r="D513" s="7"/>
      <c r="E513" s="7"/>
      <c r="F513" s="7"/>
      <c r="G513" s="7"/>
      <c r="H513" s="15">
        <v>15678</v>
      </c>
      <c r="I513" s="15">
        <v>0</v>
      </c>
      <c r="J513" s="15">
        <v>0</v>
      </c>
      <c r="K513" s="7">
        <v>27159</v>
      </c>
      <c r="L513" s="7">
        <v>0</v>
      </c>
      <c r="M513" s="15"/>
      <c r="N513" s="7">
        <f t="shared" si="58"/>
        <v>27159</v>
      </c>
      <c r="O513" s="7">
        <v>0</v>
      </c>
      <c r="P513" s="19">
        <f t="shared" si="60"/>
        <v>27159</v>
      </c>
      <c r="Q513" s="19">
        <v>0</v>
      </c>
    </row>
    <row r="514" spans="1:17" s="154" customFormat="1" ht="13.5" customHeight="1">
      <c r="A514" s="18"/>
      <c r="B514" s="30" t="s">
        <v>272</v>
      </c>
      <c r="C514" s="229" t="s">
        <v>273</v>
      </c>
      <c r="D514" s="7"/>
      <c r="E514" s="7">
        <v>94026</v>
      </c>
      <c r="F514" s="7">
        <v>0</v>
      </c>
      <c r="G514" s="7">
        <v>0</v>
      </c>
      <c r="H514" s="15">
        <v>4200</v>
      </c>
      <c r="I514" s="15">
        <v>0</v>
      </c>
      <c r="J514" s="15">
        <v>0</v>
      </c>
      <c r="K514" s="7">
        <v>6060</v>
      </c>
      <c r="L514" s="7">
        <v>0</v>
      </c>
      <c r="M514" s="15">
        <v>3</v>
      </c>
      <c r="N514" s="7">
        <f t="shared" si="58"/>
        <v>6057</v>
      </c>
      <c r="O514" s="7">
        <v>0</v>
      </c>
      <c r="P514" s="19">
        <f t="shared" si="60"/>
        <v>6057</v>
      </c>
      <c r="Q514" s="19">
        <v>0</v>
      </c>
    </row>
    <row r="515" spans="1:17" s="154" customFormat="1" ht="14.25" customHeight="1">
      <c r="A515" s="18"/>
      <c r="B515" s="30" t="s">
        <v>355</v>
      </c>
      <c r="C515" s="229" t="s">
        <v>634</v>
      </c>
      <c r="D515" s="7"/>
      <c r="E515" s="7"/>
      <c r="F515" s="7"/>
      <c r="G515" s="7"/>
      <c r="H515" s="15"/>
      <c r="I515" s="15"/>
      <c r="J515" s="15"/>
      <c r="K515" s="7">
        <v>19381</v>
      </c>
      <c r="L515" s="7">
        <v>0</v>
      </c>
      <c r="M515" s="15">
        <v>11923</v>
      </c>
      <c r="N515" s="7">
        <f t="shared" si="58"/>
        <v>7458</v>
      </c>
      <c r="O515" s="7"/>
      <c r="P515" s="19">
        <f t="shared" si="60"/>
        <v>7458</v>
      </c>
      <c r="Q515" s="19"/>
    </row>
    <row r="516" spans="1:17" s="154" customFormat="1" ht="12.75" customHeight="1">
      <c r="A516" s="18"/>
      <c r="B516" s="30" t="s">
        <v>274</v>
      </c>
      <c r="C516" s="229" t="s">
        <v>173</v>
      </c>
      <c r="D516" s="7"/>
      <c r="E516" s="7"/>
      <c r="F516" s="7"/>
      <c r="G516" s="7"/>
      <c r="H516" s="15"/>
      <c r="I516" s="15"/>
      <c r="J516" s="15"/>
      <c r="K516" s="7">
        <v>0</v>
      </c>
      <c r="L516" s="7">
        <v>0</v>
      </c>
      <c r="M516" s="15"/>
      <c r="N516" s="7">
        <f t="shared" si="58"/>
        <v>0</v>
      </c>
      <c r="O516" s="7"/>
      <c r="P516" s="19">
        <f t="shared" si="60"/>
        <v>0</v>
      </c>
      <c r="Q516" s="19"/>
    </row>
    <row r="517" spans="1:17" s="154" customFormat="1" ht="15.75" customHeight="1">
      <c r="A517" s="18"/>
      <c r="B517" s="30" t="s">
        <v>505</v>
      </c>
      <c r="C517" s="229" t="s">
        <v>173</v>
      </c>
      <c r="D517" s="7"/>
      <c r="E517" s="7"/>
      <c r="F517" s="7"/>
      <c r="G517" s="7"/>
      <c r="H517" s="15"/>
      <c r="I517" s="15"/>
      <c r="J517" s="15"/>
      <c r="K517" s="7">
        <v>300233</v>
      </c>
      <c r="L517" s="7">
        <v>0</v>
      </c>
      <c r="M517" s="15">
        <v>0</v>
      </c>
      <c r="N517" s="7">
        <f t="shared" si="58"/>
        <v>300233</v>
      </c>
      <c r="O517" s="7"/>
      <c r="P517" s="19">
        <f t="shared" si="60"/>
        <v>300233</v>
      </c>
      <c r="Q517" s="19"/>
    </row>
    <row r="518" spans="1:17" s="154" customFormat="1" ht="15" customHeight="1">
      <c r="A518" s="18"/>
      <c r="B518" s="30" t="s">
        <v>625</v>
      </c>
      <c r="C518" s="229" t="s">
        <v>173</v>
      </c>
      <c r="D518" s="7"/>
      <c r="E518" s="7"/>
      <c r="F518" s="7"/>
      <c r="G518" s="7"/>
      <c r="H518" s="15"/>
      <c r="I518" s="15"/>
      <c r="J518" s="15"/>
      <c r="K518" s="7">
        <v>170821</v>
      </c>
      <c r="L518" s="7">
        <v>0</v>
      </c>
      <c r="M518" s="15">
        <v>0</v>
      </c>
      <c r="N518" s="7">
        <f t="shared" si="58"/>
        <v>170821</v>
      </c>
      <c r="O518" s="7"/>
      <c r="P518" s="19">
        <f t="shared" si="60"/>
        <v>170821</v>
      </c>
      <c r="Q518" s="19"/>
    </row>
    <row r="519" spans="1:17" s="154" customFormat="1" ht="22.5" customHeight="1">
      <c r="A519" s="169" t="s">
        <v>457</v>
      </c>
      <c r="B519" s="237"/>
      <c r="C519" s="168" t="s">
        <v>458</v>
      </c>
      <c r="D519" s="140"/>
      <c r="E519" s="140"/>
      <c r="F519" s="140"/>
      <c r="G519" s="140"/>
      <c r="H519" s="140">
        <f>H520</f>
        <v>5083</v>
      </c>
      <c r="I519" s="140">
        <f>I520</f>
        <v>0</v>
      </c>
      <c r="J519" s="140">
        <f>J520</f>
        <v>0</v>
      </c>
      <c r="K519" s="140">
        <f>SUM(K520:K538)</f>
        <v>854458</v>
      </c>
      <c r="L519" s="140">
        <f>SUM(L520:L538)</f>
        <v>5207</v>
      </c>
      <c r="M519" s="140">
        <f>SUM(M520:M538)</f>
        <v>467</v>
      </c>
      <c r="N519" s="140">
        <f t="shared" si="58"/>
        <v>859198</v>
      </c>
      <c r="O519" s="140">
        <f>SUM(O520:O538)</f>
        <v>0</v>
      </c>
      <c r="P519" s="140">
        <f>SUM(P520:P538)</f>
        <v>859198</v>
      </c>
      <c r="Q519" s="140">
        <f>SUM(Q520:Q538)</f>
        <v>0</v>
      </c>
    </row>
    <row r="520" spans="1:17" s="154" customFormat="1" ht="15" customHeight="1">
      <c r="A520" s="18"/>
      <c r="B520" s="30" t="s">
        <v>197</v>
      </c>
      <c r="C520" s="229" t="s">
        <v>506</v>
      </c>
      <c r="D520" s="7"/>
      <c r="E520" s="7"/>
      <c r="F520" s="7"/>
      <c r="G520" s="7"/>
      <c r="H520" s="15">
        <v>5083</v>
      </c>
      <c r="I520" s="15">
        <v>0</v>
      </c>
      <c r="J520" s="15">
        <v>0</v>
      </c>
      <c r="K520" s="15">
        <v>317600</v>
      </c>
      <c r="L520" s="15">
        <v>0</v>
      </c>
      <c r="M520" s="15"/>
      <c r="N520" s="7">
        <f t="shared" si="58"/>
        <v>317600</v>
      </c>
      <c r="O520" s="7">
        <v>0</v>
      </c>
      <c r="P520" s="19">
        <f>N520</f>
        <v>317600</v>
      </c>
      <c r="Q520" s="19">
        <v>0</v>
      </c>
    </row>
    <row r="521" spans="1:17" s="154" customFormat="1" ht="15.75" customHeight="1">
      <c r="A521" s="18"/>
      <c r="B521" s="30" t="s">
        <v>507</v>
      </c>
      <c r="C521" s="229" t="s">
        <v>506</v>
      </c>
      <c r="D521" s="7"/>
      <c r="E521" s="7"/>
      <c r="F521" s="7"/>
      <c r="G521" s="7"/>
      <c r="H521" s="15">
        <v>5083</v>
      </c>
      <c r="I521" s="15">
        <v>0</v>
      </c>
      <c r="J521" s="15">
        <v>0</v>
      </c>
      <c r="K521" s="15">
        <v>354470</v>
      </c>
      <c r="L521" s="15">
        <v>0</v>
      </c>
      <c r="M521" s="15"/>
      <c r="N521" s="7">
        <f t="shared" si="58"/>
        <v>354470</v>
      </c>
      <c r="O521" s="7">
        <v>0</v>
      </c>
      <c r="P521" s="19">
        <f aca="true" t="shared" si="61" ref="P521:P538">N521</f>
        <v>354470</v>
      </c>
      <c r="Q521" s="19">
        <v>0</v>
      </c>
    </row>
    <row r="522" spans="1:17" s="154" customFormat="1" ht="17.25" customHeight="1">
      <c r="A522" s="18"/>
      <c r="B522" s="30" t="s">
        <v>508</v>
      </c>
      <c r="C522" s="229" t="s">
        <v>506</v>
      </c>
      <c r="D522" s="7"/>
      <c r="E522" s="7"/>
      <c r="F522" s="7"/>
      <c r="G522" s="7"/>
      <c r="H522" s="15">
        <v>5083</v>
      </c>
      <c r="I522" s="15">
        <v>0</v>
      </c>
      <c r="J522" s="15">
        <v>0</v>
      </c>
      <c r="K522" s="15">
        <v>166810</v>
      </c>
      <c r="L522" s="15">
        <v>0</v>
      </c>
      <c r="M522" s="15"/>
      <c r="N522" s="7">
        <f t="shared" si="58"/>
        <v>166810</v>
      </c>
      <c r="O522" s="7">
        <v>0</v>
      </c>
      <c r="P522" s="19">
        <f t="shared" si="61"/>
        <v>166810</v>
      </c>
      <c r="Q522" s="19">
        <v>0</v>
      </c>
    </row>
    <row r="523" spans="1:17" s="154" customFormat="1" ht="17.25" customHeight="1">
      <c r="A523" s="18"/>
      <c r="B523" s="30" t="s">
        <v>52</v>
      </c>
      <c r="C523" s="229" t="s">
        <v>235</v>
      </c>
      <c r="D523" s="7"/>
      <c r="E523" s="7"/>
      <c r="F523" s="7"/>
      <c r="G523" s="7"/>
      <c r="H523" s="15"/>
      <c r="I523" s="15"/>
      <c r="J523" s="15"/>
      <c r="K523" s="15">
        <v>1326</v>
      </c>
      <c r="L523" s="15">
        <v>0</v>
      </c>
      <c r="M523" s="15"/>
      <c r="N523" s="7">
        <f t="shared" si="58"/>
        <v>1326</v>
      </c>
      <c r="O523" s="7"/>
      <c r="P523" s="19">
        <f t="shared" si="61"/>
        <v>1326</v>
      </c>
      <c r="Q523" s="19">
        <v>0</v>
      </c>
    </row>
    <row r="524" spans="1:17" s="154" customFormat="1" ht="18.75" customHeight="1">
      <c r="A524" s="18"/>
      <c r="B524" s="30" t="s">
        <v>53</v>
      </c>
      <c r="C524" s="229" t="s">
        <v>235</v>
      </c>
      <c r="D524" s="7"/>
      <c r="E524" s="7"/>
      <c r="F524" s="7"/>
      <c r="G524" s="7"/>
      <c r="H524" s="15"/>
      <c r="I524" s="15"/>
      <c r="J524" s="15"/>
      <c r="K524" s="15">
        <v>624</v>
      </c>
      <c r="L524" s="15">
        <v>0</v>
      </c>
      <c r="M524" s="15"/>
      <c r="N524" s="7">
        <f t="shared" si="58"/>
        <v>624</v>
      </c>
      <c r="O524" s="7"/>
      <c r="P524" s="19">
        <f t="shared" si="61"/>
        <v>624</v>
      </c>
      <c r="Q524" s="19">
        <v>0</v>
      </c>
    </row>
    <row r="525" spans="1:17" s="154" customFormat="1" ht="15.75" customHeight="1">
      <c r="A525" s="18"/>
      <c r="B525" s="30" t="s">
        <v>267</v>
      </c>
      <c r="C525" s="229" t="s">
        <v>268</v>
      </c>
      <c r="D525" s="7"/>
      <c r="E525" s="7"/>
      <c r="F525" s="7"/>
      <c r="G525" s="7"/>
      <c r="H525" s="15"/>
      <c r="I525" s="15"/>
      <c r="J525" s="15"/>
      <c r="K525" s="15">
        <v>0</v>
      </c>
      <c r="L525" s="15">
        <v>419</v>
      </c>
      <c r="M525" s="15"/>
      <c r="N525" s="7">
        <f t="shared" si="58"/>
        <v>419</v>
      </c>
      <c r="O525" s="7"/>
      <c r="P525" s="19">
        <f t="shared" si="61"/>
        <v>419</v>
      </c>
      <c r="Q525" s="19"/>
    </row>
    <row r="526" spans="1:17" s="154" customFormat="1" ht="15.75" customHeight="1">
      <c r="A526" s="18"/>
      <c r="B526" s="30" t="s">
        <v>54</v>
      </c>
      <c r="C526" s="229" t="s">
        <v>268</v>
      </c>
      <c r="D526" s="7"/>
      <c r="E526" s="7"/>
      <c r="F526" s="7"/>
      <c r="G526" s="7"/>
      <c r="H526" s="15"/>
      <c r="I526" s="15"/>
      <c r="J526" s="15"/>
      <c r="K526" s="15">
        <v>238</v>
      </c>
      <c r="L526" s="15">
        <v>0</v>
      </c>
      <c r="M526" s="15">
        <v>11</v>
      </c>
      <c r="N526" s="7">
        <f t="shared" si="58"/>
        <v>227</v>
      </c>
      <c r="O526" s="7"/>
      <c r="P526" s="19">
        <f t="shared" si="61"/>
        <v>227</v>
      </c>
      <c r="Q526" s="19">
        <v>0</v>
      </c>
    </row>
    <row r="527" spans="1:17" s="154" customFormat="1" ht="15.75" customHeight="1">
      <c r="A527" s="18"/>
      <c r="B527" s="30" t="s">
        <v>55</v>
      </c>
      <c r="C527" s="229" t="s">
        <v>268</v>
      </c>
      <c r="D527" s="7"/>
      <c r="E527" s="7"/>
      <c r="F527" s="7"/>
      <c r="G527" s="7"/>
      <c r="H527" s="15"/>
      <c r="I527" s="15"/>
      <c r="J527" s="15"/>
      <c r="K527" s="15">
        <v>112</v>
      </c>
      <c r="L527" s="15">
        <v>0</v>
      </c>
      <c r="M527" s="15">
        <v>5</v>
      </c>
      <c r="N527" s="7">
        <f t="shared" si="58"/>
        <v>107</v>
      </c>
      <c r="O527" s="7"/>
      <c r="P527" s="19">
        <f t="shared" si="61"/>
        <v>107</v>
      </c>
      <c r="Q527" s="19">
        <v>0</v>
      </c>
    </row>
    <row r="528" spans="1:17" s="154" customFormat="1" ht="15" customHeight="1">
      <c r="A528" s="18"/>
      <c r="B528" s="30" t="s">
        <v>242</v>
      </c>
      <c r="C528" s="229" t="s">
        <v>243</v>
      </c>
      <c r="D528" s="7"/>
      <c r="E528" s="7"/>
      <c r="F528" s="7"/>
      <c r="G528" s="7"/>
      <c r="H528" s="15"/>
      <c r="I528" s="15"/>
      <c r="J528" s="15"/>
      <c r="K528" s="15">
        <v>0</v>
      </c>
      <c r="L528" s="15">
        <v>59</v>
      </c>
      <c r="M528" s="15"/>
      <c r="N528" s="7">
        <f t="shared" si="58"/>
        <v>59</v>
      </c>
      <c r="O528" s="7"/>
      <c r="P528" s="19">
        <f t="shared" si="61"/>
        <v>59</v>
      </c>
      <c r="Q528" s="19"/>
    </row>
    <row r="529" spans="1:17" s="154" customFormat="1" ht="16.5" customHeight="1">
      <c r="A529" s="18"/>
      <c r="B529" s="30" t="s">
        <v>56</v>
      </c>
      <c r="C529" s="229" t="s">
        <v>243</v>
      </c>
      <c r="D529" s="7"/>
      <c r="E529" s="7"/>
      <c r="F529" s="7"/>
      <c r="G529" s="7"/>
      <c r="H529" s="15"/>
      <c r="I529" s="15"/>
      <c r="J529" s="15"/>
      <c r="K529" s="15">
        <v>34</v>
      </c>
      <c r="L529" s="15">
        <v>0</v>
      </c>
      <c r="M529" s="15">
        <v>2</v>
      </c>
      <c r="N529" s="7">
        <f t="shared" si="58"/>
        <v>32</v>
      </c>
      <c r="O529" s="7"/>
      <c r="P529" s="19">
        <f t="shared" si="61"/>
        <v>32</v>
      </c>
      <c r="Q529" s="19">
        <v>0</v>
      </c>
    </row>
    <row r="530" spans="1:17" s="154" customFormat="1" ht="15.75" customHeight="1">
      <c r="A530" s="18"/>
      <c r="B530" s="30" t="s">
        <v>57</v>
      </c>
      <c r="C530" s="229" t="s">
        <v>243</v>
      </c>
      <c r="D530" s="7"/>
      <c r="E530" s="7"/>
      <c r="F530" s="7"/>
      <c r="G530" s="7"/>
      <c r="H530" s="15"/>
      <c r="I530" s="15"/>
      <c r="J530" s="15"/>
      <c r="K530" s="15">
        <v>16</v>
      </c>
      <c r="L530" s="15">
        <v>0</v>
      </c>
      <c r="M530" s="15">
        <v>1</v>
      </c>
      <c r="N530" s="7">
        <f t="shared" si="58"/>
        <v>15</v>
      </c>
      <c r="O530" s="7"/>
      <c r="P530" s="19">
        <f t="shared" si="61"/>
        <v>15</v>
      </c>
      <c r="Q530" s="19">
        <v>0</v>
      </c>
    </row>
    <row r="531" spans="1:17" s="154" customFormat="1" ht="15" customHeight="1">
      <c r="A531" s="18"/>
      <c r="B531" s="30" t="s">
        <v>97</v>
      </c>
      <c r="C531" s="229" t="s">
        <v>109</v>
      </c>
      <c r="D531" s="7"/>
      <c r="E531" s="7"/>
      <c r="F531" s="7"/>
      <c r="G531" s="7"/>
      <c r="H531" s="15"/>
      <c r="I531" s="15"/>
      <c r="J531" s="15"/>
      <c r="K531" s="15">
        <v>0</v>
      </c>
      <c r="L531" s="15">
        <v>2402</v>
      </c>
      <c r="M531" s="15"/>
      <c r="N531" s="7">
        <f t="shared" si="58"/>
        <v>2402</v>
      </c>
      <c r="O531" s="7"/>
      <c r="P531" s="19">
        <f t="shared" si="61"/>
        <v>2402</v>
      </c>
      <c r="Q531" s="19"/>
    </row>
    <row r="532" spans="1:17" s="154" customFormat="1" ht="17.25" customHeight="1">
      <c r="A532" s="18"/>
      <c r="B532" s="30" t="s">
        <v>492</v>
      </c>
      <c r="C532" s="229" t="s">
        <v>109</v>
      </c>
      <c r="D532" s="7"/>
      <c r="E532" s="7"/>
      <c r="F532" s="7"/>
      <c r="G532" s="7"/>
      <c r="H532" s="15">
        <v>5083</v>
      </c>
      <c r="I532" s="15">
        <v>0</v>
      </c>
      <c r="J532" s="15">
        <v>0</v>
      </c>
      <c r="K532" s="15">
        <v>2856</v>
      </c>
      <c r="L532" s="15">
        <v>0</v>
      </c>
      <c r="M532" s="15"/>
      <c r="N532" s="7">
        <f t="shared" si="58"/>
        <v>2856</v>
      </c>
      <c r="O532" s="7">
        <v>0</v>
      </c>
      <c r="P532" s="19">
        <f t="shared" si="61"/>
        <v>2856</v>
      </c>
      <c r="Q532" s="19">
        <v>0</v>
      </c>
    </row>
    <row r="533" spans="1:17" s="154" customFormat="1" ht="18" customHeight="1">
      <c r="A533" s="18"/>
      <c r="B533" s="30" t="s">
        <v>493</v>
      </c>
      <c r="C533" s="229" t="s">
        <v>109</v>
      </c>
      <c r="D533" s="7"/>
      <c r="E533" s="7"/>
      <c r="F533" s="7"/>
      <c r="G533" s="7"/>
      <c r="H533" s="15">
        <v>5083</v>
      </c>
      <c r="I533" s="15">
        <v>0</v>
      </c>
      <c r="J533" s="15">
        <v>0</v>
      </c>
      <c r="K533" s="15">
        <v>1344</v>
      </c>
      <c r="L533" s="15">
        <v>0</v>
      </c>
      <c r="M533" s="15"/>
      <c r="N533" s="7">
        <f t="shared" si="58"/>
        <v>1344</v>
      </c>
      <c r="O533" s="7">
        <v>0</v>
      </c>
      <c r="P533" s="19">
        <f t="shared" si="61"/>
        <v>1344</v>
      </c>
      <c r="Q533" s="19">
        <v>0</v>
      </c>
    </row>
    <row r="534" spans="1:17" s="154" customFormat="1" ht="15" customHeight="1">
      <c r="A534" s="18"/>
      <c r="B534" s="30" t="s">
        <v>244</v>
      </c>
      <c r="C534" s="229" t="s">
        <v>271</v>
      </c>
      <c r="D534" s="7"/>
      <c r="E534" s="7"/>
      <c r="F534" s="7"/>
      <c r="G534" s="7"/>
      <c r="H534" s="15"/>
      <c r="I534" s="15"/>
      <c r="J534" s="15"/>
      <c r="K534" s="15">
        <v>0</v>
      </c>
      <c r="L534" s="15">
        <v>1860</v>
      </c>
      <c r="M534" s="15"/>
      <c r="N534" s="7">
        <f t="shared" si="58"/>
        <v>1860</v>
      </c>
      <c r="O534" s="7"/>
      <c r="P534" s="19">
        <f t="shared" si="61"/>
        <v>1860</v>
      </c>
      <c r="Q534" s="19"/>
    </row>
    <row r="535" spans="1:17" s="154" customFormat="1" ht="19.5" customHeight="1">
      <c r="A535" s="18"/>
      <c r="B535" s="30" t="s">
        <v>494</v>
      </c>
      <c r="C535" s="229" t="s">
        <v>271</v>
      </c>
      <c r="D535" s="7"/>
      <c r="E535" s="7"/>
      <c r="F535" s="7"/>
      <c r="G535" s="7"/>
      <c r="H535" s="15"/>
      <c r="I535" s="15"/>
      <c r="J535" s="15"/>
      <c r="K535" s="15">
        <v>1290</v>
      </c>
      <c r="L535" s="15">
        <v>319</v>
      </c>
      <c r="M535" s="15"/>
      <c r="N535" s="7">
        <f t="shared" si="58"/>
        <v>1609</v>
      </c>
      <c r="O535" s="7"/>
      <c r="P535" s="19">
        <f t="shared" si="61"/>
        <v>1609</v>
      </c>
      <c r="Q535" s="19"/>
    </row>
    <row r="536" spans="1:17" s="154" customFormat="1" ht="18.75" customHeight="1">
      <c r="A536" s="18"/>
      <c r="B536" s="30" t="s">
        <v>497</v>
      </c>
      <c r="C536" s="229" t="s">
        <v>271</v>
      </c>
      <c r="D536" s="7"/>
      <c r="E536" s="7"/>
      <c r="F536" s="7"/>
      <c r="G536" s="7"/>
      <c r="H536" s="15"/>
      <c r="I536" s="15"/>
      <c r="J536" s="15"/>
      <c r="K536" s="15">
        <v>608</v>
      </c>
      <c r="L536" s="15">
        <v>148</v>
      </c>
      <c r="M536" s="15"/>
      <c r="N536" s="7">
        <f t="shared" si="58"/>
        <v>756</v>
      </c>
      <c r="O536" s="7"/>
      <c r="P536" s="19">
        <f t="shared" si="61"/>
        <v>756</v>
      </c>
      <c r="Q536" s="19"/>
    </row>
    <row r="537" spans="1:17" s="154" customFormat="1" ht="16.5" customHeight="1">
      <c r="A537" s="18"/>
      <c r="B537" s="30" t="s">
        <v>495</v>
      </c>
      <c r="C537" s="229" t="s">
        <v>352</v>
      </c>
      <c r="D537" s="7"/>
      <c r="E537" s="7"/>
      <c r="F537" s="7"/>
      <c r="G537" s="7"/>
      <c r="H537" s="15">
        <v>5083</v>
      </c>
      <c r="I537" s="15">
        <v>0</v>
      </c>
      <c r="J537" s="15">
        <v>0</v>
      </c>
      <c r="K537" s="15">
        <v>4848</v>
      </c>
      <c r="L537" s="15">
        <v>0</v>
      </c>
      <c r="M537" s="15">
        <v>301</v>
      </c>
      <c r="N537" s="7">
        <f t="shared" si="58"/>
        <v>4547</v>
      </c>
      <c r="O537" s="7">
        <v>0</v>
      </c>
      <c r="P537" s="19">
        <f t="shared" si="61"/>
        <v>4547</v>
      </c>
      <c r="Q537" s="19">
        <v>0</v>
      </c>
    </row>
    <row r="538" spans="1:17" s="154" customFormat="1" ht="17.25" customHeight="1">
      <c r="A538" s="18"/>
      <c r="B538" s="30" t="s">
        <v>496</v>
      </c>
      <c r="C538" s="229" t="s">
        <v>352</v>
      </c>
      <c r="D538" s="7"/>
      <c r="E538" s="7"/>
      <c r="F538" s="7"/>
      <c r="G538" s="7"/>
      <c r="H538" s="15">
        <v>5083</v>
      </c>
      <c r="I538" s="15">
        <v>0</v>
      </c>
      <c r="J538" s="15">
        <v>0</v>
      </c>
      <c r="K538" s="15">
        <v>2282</v>
      </c>
      <c r="L538" s="15">
        <v>0</v>
      </c>
      <c r="M538" s="15">
        <v>147</v>
      </c>
      <c r="N538" s="7">
        <f t="shared" si="58"/>
        <v>2135</v>
      </c>
      <c r="O538" s="7">
        <v>0</v>
      </c>
      <c r="P538" s="19">
        <f t="shared" si="61"/>
        <v>2135</v>
      </c>
      <c r="Q538" s="19">
        <v>0</v>
      </c>
    </row>
    <row r="539" spans="1:17" s="154" customFormat="1" ht="21.75" customHeight="1">
      <c r="A539" s="169" t="s">
        <v>459</v>
      </c>
      <c r="B539" s="169"/>
      <c r="C539" s="168" t="s">
        <v>460</v>
      </c>
      <c r="D539" s="140">
        <f>D540+D542</f>
        <v>24996</v>
      </c>
      <c r="E539" s="140" t="e">
        <f>E540+E542+E543+#REF!+#REF!+#REF!</f>
        <v>#REF!</v>
      </c>
      <c r="F539" s="140" t="e">
        <f>F540+F542+F543+#REF!+#REF!+#REF!</f>
        <v>#REF!</v>
      </c>
      <c r="G539" s="140" t="e">
        <f>G540+G542+G543+#REF!+#REF!+#REF!</f>
        <v>#REF!</v>
      </c>
      <c r="H539" s="140" t="e">
        <f>H540+#REF!+#REF!+H542+H543</f>
        <v>#REF!</v>
      </c>
      <c r="I539" s="140" t="e">
        <f>I540+#REF!+#REF!+I542+I543</f>
        <v>#REF!</v>
      </c>
      <c r="J539" s="140" t="e">
        <f>J540+#REF!+#REF!+J542+J543</f>
        <v>#REF!</v>
      </c>
      <c r="K539" s="140">
        <f>K540+K541+K542+K543</f>
        <v>3900</v>
      </c>
      <c r="L539" s="140">
        <f>L540+L541+L542+L543</f>
        <v>0</v>
      </c>
      <c r="M539" s="140">
        <f>M540+M541+M542+M543</f>
        <v>0</v>
      </c>
      <c r="N539" s="232">
        <f t="shared" si="58"/>
        <v>3900</v>
      </c>
      <c r="O539" s="140">
        <f>O540+O541+O542+O543</f>
        <v>0</v>
      </c>
      <c r="P539" s="140">
        <f>P540+P541+P542+P543</f>
        <v>2400</v>
      </c>
      <c r="Q539" s="138">
        <f>Q540+Q541+Q542</f>
        <v>1500</v>
      </c>
    </row>
    <row r="540" spans="1:17" s="154" customFormat="1" ht="19.5" customHeight="1">
      <c r="A540" s="18"/>
      <c r="B540" s="18" t="s">
        <v>299</v>
      </c>
      <c r="C540" s="107" t="s">
        <v>642</v>
      </c>
      <c r="D540" s="7">
        <v>16664</v>
      </c>
      <c r="E540" s="7">
        <v>16664</v>
      </c>
      <c r="F540" s="7">
        <v>0</v>
      </c>
      <c r="G540" s="7">
        <v>0</v>
      </c>
      <c r="H540" s="15">
        <v>6000</v>
      </c>
      <c r="I540" s="15">
        <v>0</v>
      </c>
      <c r="J540" s="15">
        <v>0</v>
      </c>
      <c r="K540" s="7">
        <v>1500</v>
      </c>
      <c r="L540" s="7"/>
      <c r="M540" s="15"/>
      <c r="N540" s="7">
        <f t="shared" si="58"/>
        <v>1500</v>
      </c>
      <c r="O540" s="7">
        <v>0</v>
      </c>
      <c r="P540" s="19">
        <v>0</v>
      </c>
      <c r="Q540" s="19">
        <f>N540</f>
        <v>1500</v>
      </c>
    </row>
    <row r="541" spans="1:17" s="154" customFormat="1" ht="16.5" customHeight="1">
      <c r="A541" s="18"/>
      <c r="B541" s="18" t="s">
        <v>97</v>
      </c>
      <c r="C541" s="229" t="s">
        <v>109</v>
      </c>
      <c r="D541" s="7"/>
      <c r="E541" s="7"/>
      <c r="F541" s="7"/>
      <c r="G541" s="7"/>
      <c r="H541" s="15"/>
      <c r="I541" s="15"/>
      <c r="J541" s="15"/>
      <c r="K541" s="7">
        <v>1400</v>
      </c>
      <c r="L541" s="7"/>
      <c r="M541" s="15"/>
      <c r="N541" s="7">
        <f t="shared" si="58"/>
        <v>1400</v>
      </c>
      <c r="O541" s="7">
        <v>0</v>
      </c>
      <c r="P541" s="19">
        <f>N541</f>
        <v>1400</v>
      </c>
      <c r="Q541" s="19">
        <v>0</v>
      </c>
    </row>
    <row r="542" spans="1:17" s="154" customFormat="1" ht="17.25" customHeight="1">
      <c r="A542" s="18"/>
      <c r="B542" s="18" t="s">
        <v>244</v>
      </c>
      <c r="C542" s="229" t="s">
        <v>271</v>
      </c>
      <c r="D542" s="7">
        <v>8332</v>
      </c>
      <c r="E542" s="7">
        <v>3107</v>
      </c>
      <c r="F542" s="7">
        <v>0</v>
      </c>
      <c r="G542" s="7">
        <v>325</v>
      </c>
      <c r="H542" s="15">
        <v>832</v>
      </c>
      <c r="I542" s="15">
        <v>0</v>
      </c>
      <c r="J542" s="15">
        <v>0</v>
      </c>
      <c r="K542" s="7">
        <v>600</v>
      </c>
      <c r="L542" s="7"/>
      <c r="M542" s="15"/>
      <c r="N542" s="7">
        <f t="shared" si="58"/>
        <v>600</v>
      </c>
      <c r="O542" s="7">
        <v>0</v>
      </c>
      <c r="P542" s="19">
        <f>N542</f>
        <v>600</v>
      </c>
      <c r="Q542" s="19">
        <v>0</v>
      </c>
    </row>
    <row r="543" spans="1:17" s="154" customFormat="1" ht="19.5" customHeight="1">
      <c r="A543" s="18"/>
      <c r="B543" s="18" t="s">
        <v>250</v>
      </c>
      <c r="C543" s="229" t="s">
        <v>251</v>
      </c>
      <c r="D543" s="7"/>
      <c r="E543" s="7">
        <v>2500</v>
      </c>
      <c r="F543" s="7">
        <v>0</v>
      </c>
      <c r="G543" s="7">
        <v>0</v>
      </c>
      <c r="H543" s="15">
        <v>1800</v>
      </c>
      <c r="I543" s="15">
        <v>0</v>
      </c>
      <c r="J543" s="15">
        <v>0</v>
      </c>
      <c r="K543" s="7">
        <v>400</v>
      </c>
      <c r="L543" s="7"/>
      <c r="M543" s="15"/>
      <c r="N543" s="7">
        <f t="shared" si="58"/>
        <v>400</v>
      </c>
      <c r="O543" s="7">
        <v>0</v>
      </c>
      <c r="P543" s="19">
        <f>N543</f>
        <v>400</v>
      </c>
      <c r="Q543" s="19">
        <v>0</v>
      </c>
    </row>
    <row r="544" spans="1:17" s="154" customFormat="1" ht="21" customHeight="1">
      <c r="A544" s="169" t="s">
        <v>462</v>
      </c>
      <c r="B544" s="169"/>
      <c r="C544" s="168" t="s">
        <v>309</v>
      </c>
      <c r="D544" s="140"/>
      <c r="E544" s="140">
        <f aca="true" t="shared" si="62" ref="E544:Q544">E545</f>
        <v>0</v>
      </c>
      <c r="F544" s="140">
        <f t="shared" si="62"/>
        <v>27582</v>
      </c>
      <c r="G544" s="140">
        <f t="shared" si="62"/>
        <v>0</v>
      </c>
      <c r="H544" s="140">
        <f aca="true" t="shared" si="63" ref="H544:N544">H545</f>
        <v>12118</v>
      </c>
      <c r="I544" s="140">
        <f t="shared" si="63"/>
        <v>0</v>
      </c>
      <c r="J544" s="140">
        <f t="shared" si="63"/>
        <v>0</v>
      </c>
      <c r="K544" s="140">
        <f t="shared" si="63"/>
        <v>28348</v>
      </c>
      <c r="L544" s="140">
        <f t="shared" si="63"/>
        <v>0</v>
      </c>
      <c r="M544" s="140">
        <f t="shared" si="63"/>
        <v>0</v>
      </c>
      <c r="N544" s="140">
        <f t="shared" si="63"/>
        <v>28348</v>
      </c>
      <c r="O544" s="140">
        <f t="shared" si="62"/>
        <v>0</v>
      </c>
      <c r="P544" s="138">
        <f t="shared" si="62"/>
        <v>28348</v>
      </c>
      <c r="Q544" s="138">
        <f t="shared" si="62"/>
        <v>0</v>
      </c>
    </row>
    <row r="545" spans="1:17" s="154" customFormat="1" ht="26.25" customHeight="1">
      <c r="A545" s="18"/>
      <c r="B545" s="18" t="s">
        <v>256</v>
      </c>
      <c r="C545" s="107" t="s">
        <v>384</v>
      </c>
      <c r="D545" s="7"/>
      <c r="E545" s="7">
        <v>0</v>
      </c>
      <c r="F545" s="7">
        <v>27582</v>
      </c>
      <c r="G545" s="7">
        <v>0</v>
      </c>
      <c r="H545" s="19">
        <v>12118</v>
      </c>
      <c r="I545" s="19">
        <v>0</v>
      </c>
      <c r="J545" s="19">
        <v>0</v>
      </c>
      <c r="K545" s="7">
        <v>28348</v>
      </c>
      <c r="L545" s="7">
        <v>0</v>
      </c>
      <c r="M545" s="19"/>
      <c r="N545" s="7">
        <f t="shared" si="58"/>
        <v>28348</v>
      </c>
      <c r="O545" s="7">
        <v>0</v>
      </c>
      <c r="P545" s="19">
        <f>N545</f>
        <v>28348</v>
      </c>
      <c r="Q545" s="19">
        <v>0</v>
      </c>
    </row>
    <row r="546" spans="1:17" s="154" customFormat="1" ht="25.5" customHeight="1">
      <c r="A546" s="151" t="s">
        <v>463</v>
      </c>
      <c r="B546" s="151"/>
      <c r="C546" s="150" t="s">
        <v>464</v>
      </c>
      <c r="D546" s="145" t="e">
        <f aca="true" t="shared" si="64" ref="D546:M546">D547+D549</f>
        <v>#REF!</v>
      </c>
      <c r="E546" s="145">
        <f t="shared" si="64"/>
        <v>45000</v>
      </c>
      <c r="F546" s="145">
        <f t="shared" si="64"/>
        <v>0</v>
      </c>
      <c r="G546" s="145">
        <f t="shared" si="64"/>
        <v>0</v>
      </c>
      <c r="H546" s="145" t="e">
        <f t="shared" si="64"/>
        <v>#REF!</v>
      </c>
      <c r="I546" s="145" t="e">
        <f t="shared" si="64"/>
        <v>#REF!</v>
      </c>
      <c r="J546" s="145" t="e">
        <f t="shared" si="64"/>
        <v>#REF!</v>
      </c>
      <c r="K546" s="145">
        <f t="shared" si="64"/>
        <v>40100</v>
      </c>
      <c r="L546" s="145">
        <f t="shared" si="64"/>
        <v>0</v>
      </c>
      <c r="M546" s="145">
        <f t="shared" si="64"/>
        <v>0</v>
      </c>
      <c r="N546" s="145">
        <f t="shared" si="58"/>
        <v>40100</v>
      </c>
      <c r="O546" s="145">
        <f>O547+O549</f>
        <v>0</v>
      </c>
      <c r="P546" s="145">
        <f>P547+P549</f>
        <v>7100</v>
      </c>
      <c r="Q546" s="145">
        <f>Q547+Q549</f>
        <v>33000</v>
      </c>
    </row>
    <row r="547" spans="1:17" s="154" customFormat="1" ht="18.75" customHeight="1">
      <c r="A547" s="169" t="s">
        <v>465</v>
      </c>
      <c r="B547" s="169"/>
      <c r="C547" s="168" t="s">
        <v>466</v>
      </c>
      <c r="D547" s="140">
        <f aca="true" t="shared" si="65" ref="D547:J547">D548</f>
        <v>0</v>
      </c>
      <c r="E547" s="140">
        <f t="shared" si="65"/>
        <v>30000</v>
      </c>
      <c r="F547" s="140">
        <f t="shared" si="65"/>
        <v>0</v>
      </c>
      <c r="G547" s="140">
        <f t="shared" si="65"/>
        <v>0</v>
      </c>
      <c r="H547" s="140">
        <f t="shared" si="65"/>
        <v>30000</v>
      </c>
      <c r="I547" s="140">
        <f t="shared" si="65"/>
        <v>0</v>
      </c>
      <c r="J547" s="140">
        <f t="shared" si="65"/>
        <v>0</v>
      </c>
      <c r="K547" s="140">
        <f>K548</f>
        <v>33000</v>
      </c>
      <c r="L547" s="140">
        <f aca="true" t="shared" si="66" ref="L547:Q547">L548</f>
        <v>0</v>
      </c>
      <c r="M547" s="140">
        <f t="shared" si="66"/>
        <v>0</v>
      </c>
      <c r="N547" s="140">
        <f t="shared" si="66"/>
        <v>33000</v>
      </c>
      <c r="O547" s="140">
        <f t="shared" si="66"/>
        <v>0</v>
      </c>
      <c r="P547" s="140">
        <f t="shared" si="66"/>
        <v>0</v>
      </c>
      <c r="Q547" s="140">
        <f t="shared" si="66"/>
        <v>33000</v>
      </c>
    </row>
    <row r="548" spans="1:17" s="154" customFormat="1" ht="24" customHeight="1">
      <c r="A548" s="18"/>
      <c r="B548" s="18" t="s">
        <v>299</v>
      </c>
      <c r="C548" s="229" t="s">
        <v>467</v>
      </c>
      <c r="D548" s="7">
        <v>0</v>
      </c>
      <c r="E548" s="7">
        <v>30000</v>
      </c>
      <c r="F548" s="7">
        <v>0</v>
      </c>
      <c r="G548" s="7">
        <v>0</v>
      </c>
      <c r="H548" s="7">
        <v>30000</v>
      </c>
      <c r="I548" s="7">
        <v>0</v>
      </c>
      <c r="J548" s="7">
        <v>0</v>
      </c>
      <c r="K548" s="7">
        <v>33000</v>
      </c>
      <c r="L548" s="7"/>
      <c r="M548" s="7"/>
      <c r="N548" s="7">
        <f t="shared" si="58"/>
        <v>33000</v>
      </c>
      <c r="O548" s="7">
        <v>0</v>
      </c>
      <c r="P548" s="19">
        <v>0</v>
      </c>
      <c r="Q548" s="19">
        <f>N548</f>
        <v>33000</v>
      </c>
    </row>
    <row r="549" spans="1:17" s="154" customFormat="1" ht="22.5" customHeight="1">
      <c r="A549" s="169" t="s">
        <v>468</v>
      </c>
      <c r="B549" s="236"/>
      <c r="C549" s="168" t="s">
        <v>309</v>
      </c>
      <c r="D549" s="140" t="e">
        <f>#REF!</f>
        <v>#REF!</v>
      </c>
      <c r="E549" s="140">
        <f>E552+E553+E550</f>
        <v>15000</v>
      </c>
      <c r="F549" s="140">
        <f>F552+F553+F550</f>
        <v>0</v>
      </c>
      <c r="G549" s="140">
        <f>G552+G553+G550</f>
        <v>0</v>
      </c>
      <c r="H549" s="140" t="e">
        <f>H552+H553+#REF!</f>
        <v>#REF!</v>
      </c>
      <c r="I549" s="140" t="e">
        <f>I552+I553+#REF!</f>
        <v>#REF!</v>
      </c>
      <c r="J549" s="140" t="e">
        <f>J552+J553+#REF!</f>
        <v>#REF!</v>
      </c>
      <c r="K549" s="140">
        <f>K552+K553</f>
        <v>7100</v>
      </c>
      <c r="L549" s="140">
        <f>L552+L553</f>
        <v>0</v>
      </c>
      <c r="M549" s="140">
        <f>M552+M553</f>
        <v>0</v>
      </c>
      <c r="N549" s="140">
        <f t="shared" si="58"/>
        <v>7100</v>
      </c>
      <c r="O549" s="140">
        <f>SUM(O552:O553)</f>
        <v>0</v>
      </c>
      <c r="P549" s="140">
        <f>SUM(P552:P553)</f>
        <v>7100</v>
      </c>
      <c r="Q549" s="140">
        <f>SUM(Q552:Q553)</f>
        <v>0</v>
      </c>
    </row>
    <row r="550" spans="1:17" s="154" customFormat="1" ht="14.25" customHeight="1" hidden="1">
      <c r="A550" s="21"/>
      <c r="B550" s="18"/>
      <c r="C550" s="24" t="s">
        <v>281</v>
      </c>
      <c r="D550" s="15"/>
      <c r="E550" s="15">
        <v>240</v>
      </c>
      <c r="F550" s="15">
        <v>0</v>
      </c>
      <c r="G550" s="15">
        <v>0</v>
      </c>
      <c r="H550" s="7"/>
      <c r="I550" s="7"/>
      <c r="J550" s="7"/>
      <c r="K550" s="7"/>
      <c r="L550" s="7"/>
      <c r="M550" s="7"/>
      <c r="N550" s="7">
        <f aca="true" t="shared" si="67" ref="N550:N565">K550+L550-M550</f>
        <v>0</v>
      </c>
      <c r="O550" s="15">
        <v>0</v>
      </c>
      <c r="P550" s="16">
        <f>H550</f>
        <v>0</v>
      </c>
      <c r="Q550" s="16">
        <v>0</v>
      </c>
    </row>
    <row r="551" spans="1:17" s="154" customFormat="1" ht="28.5" customHeight="1" hidden="1">
      <c r="A551" s="21"/>
      <c r="B551" s="18" t="s">
        <v>299</v>
      </c>
      <c r="C551" s="8" t="s">
        <v>461</v>
      </c>
      <c r="D551" s="15"/>
      <c r="E551" s="15"/>
      <c r="F551" s="15"/>
      <c r="G551" s="15"/>
      <c r="H551" s="7">
        <v>0</v>
      </c>
      <c r="I551" s="7">
        <v>0</v>
      </c>
      <c r="J551" s="7">
        <v>0</v>
      </c>
      <c r="K551" s="7"/>
      <c r="L551" s="7"/>
      <c r="M551" s="7"/>
      <c r="N551" s="7">
        <f t="shared" si="67"/>
        <v>0</v>
      </c>
      <c r="O551" s="15">
        <v>0</v>
      </c>
      <c r="P551" s="16">
        <v>0</v>
      </c>
      <c r="Q551" s="16">
        <v>0</v>
      </c>
    </row>
    <row r="552" spans="1:17" s="154" customFormat="1" ht="18.75" customHeight="1">
      <c r="A552" s="21"/>
      <c r="B552" s="18" t="s">
        <v>244</v>
      </c>
      <c r="C552" s="24" t="s">
        <v>271</v>
      </c>
      <c r="D552" s="15"/>
      <c r="E552" s="15">
        <v>10760</v>
      </c>
      <c r="F552" s="15">
        <v>0</v>
      </c>
      <c r="G552" s="15">
        <v>0</v>
      </c>
      <c r="H552" s="7">
        <v>3570</v>
      </c>
      <c r="I552" s="7">
        <v>0</v>
      </c>
      <c r="J552" s="7">
        <v>0</v>
      </c>
      <c r="K552" s="7">
        <v>5800</v>
      </c>
      <c r="L552" s="7">
        <v>0</v>
      </c>
      <c r="M552" s="7">
        <v>0</v>
      </c>
      <c r="N552" s="7">
        <f t="shared" si="67"/>
        <v>5800</v>
      </c>
      <c r="O552" s="15">
        <v>0</v>
      </c>
      <c r="P552" s="16">
        <f>N552</f>
        <v>5800</v>
      </c>
      <c r="Q552" s="16">
        <v>0</v>
      </c>
    </row>
    <row r="553" spans="1:17" s="154" customFormat="1" ht="18.75" customHeight="1">
      <c r="A553" s="21"/>
      <c r="B553" s="18" t="s">
        <v>250</v>
      </c>
      <c r="C553" s="24" t="s">
        <v>251</v>
      </c>
      <c r="D553" s="15"/>
      <c r="E553" s="15">
        <v>4000</v>
      </c>
      <c r="F553" s="15">
        <v>0</v>
      </c>
      <c r="G553" s="15">
        <v>0</v>
      </c>
      <c r="H553" s="7">
        <v>1480</v>
      </c>
      <c r="I553" s="7">
        <v>0</v>
      </c>
      <c r="J553" s="7">
        <v>0</v>
      </c>
      <c r="K553" s="7">
        <v>1300</v>
      </c>
      <c r="L553" s="7">
        <v>0</v>
      </c>
      <c r="M553" s="7">
        <v>0</v>
      </c>
      <c r="N553" s="7">
        <f t="shared" si="67"/>
        <v>1300</v>
      </c>
      <c r="O553" s="15">
        <v>0</v>
      </c>
      <c r="P553" s="16">
        <f>N553</f>
        <v>1300</v>
      </c>
      <c r="Q553" s="16">
        <v>0</v>
      </c>
    </row>
    <row r="554" spans="1:17" s="154" customFormat="1" ht="25.5" customHeight="1">
      <c r="A554" s="144" t="s">
        <v>469</v>
      </c>
      <c r="B554" s="144"/>
      <c r="C554" s="150" t="s">
        <v>470</v>
      </c>
      <c r="D554" s="145" t="e">
        <f>#REF!+D555</f>
        <v>#REF!</v>
      </c>
      <c r="E554" s="145" t="e">
        <f>#REF!+E555</f>
        <v>#REF!</v>
      </c>
      <c r="F554" s="145" t="e">
        <f aca="true" t="shared" si="68" ref="F554:K554">F555</f>
        <v>#REF!</v>
      </c>
      <c r="G554" s="145" t="e">
        <f t="shared" si="68"/>
        <v>#REF!</v>
      </c>
      <c r="H554" s="145">
        <f t="shared" si="68"/>
        <v>16000</v>
      </c>
      <c r="I554" s="145">
        <f t="shared" si="68"/>
        <v>0</v>
      </c>
      <c r="J554" s="145">
        <f t="shared" si="68"/>
        <v>0</v>
      </c>
      <c r="K554" s="145">
        <f t="shared" si="68"/>
        <v>16000</v>
      </c>
      <c r="L554" s="145"/>
      <c r="M554" s="145">
        <v>0</v>
      </c>
      <c r="N554" s="145">
        <f t="shared" si="67"/>
        <v>16000</v>
      </c>
      <c r="O554" s="145">
        <f>O555</f>
        <v>0</v>
      </c>
      <c r="P554" s="147">
        <f>P555</f>
        <v>16000</v>
      </c>
      <c r="Q554" s="147">
        <f>Q555</f>
        <v>0</v>
      </c>
    </row>
    <row r="555" spans="1:17" s="154" customFormat="1" ht="19.5" customHeight="1">
      <c r="A555" s="169" t="s">
        <v>471</v>
      </c>
      <c r="B555" s="167"/>
      <c r="C555" s="168" t="s">
        <v>309</v>
      </c>
      <c r="D555" s="140" t="e">
        <f>#REF!</f>
        <v>#REF!</v>
      </c>
      <c r="E555" s="140" t="e">
        <f>#REF!+E556</f>
        <v>#REF!</v>
      </c>
      <c r="F555" s="140" t="e">
        <f>#REF!+F556</f>
        <v>#REF!</v>
      </c>
      <c r="G555" s="140" t="e">
        <f>#REF!+G556</f>
        <v>#REF!</v>
      </c>
      <c r="H555" s="140">
        <f aca="true" t="shared" si="69" ref="H555:Q555">H556</f>
        <v>16000</v>
      </c>
      <c r="I555" s="140">
        <f t="shared" si="69"/>
        <v>0</v>
      </c>
      <c r="J555" s="140">
        <f t="shared" si="69"/>
        <v>0</v>
      </c>
      <c r="K555" s="140">
        <f>K556</f>
        <v>16000</v>
      </c>
      <c r="L555" s="140"/>
      <c r="M555" s="140"/>
      <c r="N555" s="140">
        <f t="shared" si="67"/>
        <v>16000</v>
      </c>
      <c r="O555" s="140">
        <f t="shared" si="69"/>
        <v>0</v>
      </c>
      <c r="P555" s="140">
        <f t="shared" si="69"/>
        <v>16000</v>
      </c>
      <c r="Q555" s="140">
        <f t="shared" si="69"/>
        <v>0</v>
      </c>
    </row>
    <row r="556" spans="1:17" s="154" customFormat="1" ht="34.5" customHeight="1">
      <c r="A556" s="21"/>
      <c r="B556" s="25" t="s">
        <v>448</v>
      </c>
      <c r="C556" s="107" t="s">
        <v>385</v>
      </c>
      <c r="D556" s="15"/>
      <c r="E556" s="15">
        <v>14200</v>
      </c>
      <c r="F556" s="15">
        <v>0</v>
      </c>
      <c r="G556" s="15">
        <v>0</v>
      </c>
      <c r="H556" s="15">
        <v>16000</v>
      </c>
      <c r="I556" s="15">
        <v>0</v>
      </c>
      <c r="J556" s="15">
        <v>0</v>
      </c>
      <c r="K556" s="7">
        <v>16000</v>
      </c>
      <c r="L556" s="7"/>
      <c r="M556" s="15"/>
      <c r="N556" s="7">
        <f t="shared" si="67"/>
        <v>16000</v>
      </c>
      <c r="O556" s="15">
        <v>0</v>
      </c>
      <c r="P556" s="16">
        <f>N556</f>
        <v>16000</v>
      </c>
      <c r="Q556" s="16">
        <v>0</v>
      </c>
    </row>
    <row r="557" spans="1:17" s="154" customFormat="1" ht="24" customHeight="1">
      <c r="A557" s="155"/>
      <c r="B557" s="156"/>
      <c r="C557" s="157" t="s">
        <v>472</v>
      </c>
      <c r="D557" s="158" t="e">
        <f>D9+D31+D37+D58+D71+D89+D157+D185+D192+D196+D320+D336+D466+D546+D554</f>
        <v>#REF!</v>
      </c>
      <c r="E557" s="158" t="e">
        <f>E9+E31+E37+E58+E71+E89+E157+E185+E192+E196+E320+E336+E466+E546+E554</f>
        <v>#REF!</v>
      </c>
      <c r="F557" s="158" t="e">
        <f>F554+F546+F466+F336+F320+F196+F192+F185+F157+F89+F71+F58+F37+F31+F9</f>
        <v>#REF!</v>
      </c>
      <c r="G557" s="158" t="e">
        <f>G554+G546+G466+G336+G320+G196+G192+G185+G157+G89+G71+G58+G37+G31+G9</f>
        <v>#REF!</v>
      </c>
      <c r="H557" s="158" t="e">
        <f>H554+H546+H466+H336+H320+H196+H192+H185+H157+#REF!+H89+H71+H58+H37+H31+H9+#REF!</f>
        <v>#REF!</v>
      </c>
      <c r="I557" s="158" t="e">
        <f>I554+I546+I466+I336+I320+I196+I192+I185+I157+#REF!+I89+I71+I58+I37+I31+I9+#REF!</f>
        <v>#REF!</v>
      </c>
      <c r="J557" s="158" t="e">
        <f>J554+J546+J466+J336+J320+J196+J192+J185+J157+#REF!+J89+J71+J58+J37+J31+J9+#REF!</f>
        <v>#REF!</v>
      </c>
      <c r="K557" s="475">
        <f>K9+K31+K37+K58+K71+K89+K148+K157+K185+K192+K196+K304+K320+K336+K426+K466+K546+K554</f>
        <v>35149124</v>
      </c>
      <c r="L557" s="475">
        <f>L9+L31+L37+L58+L71+L89+L148+L157+L185+L192+L196+L304+L320+L336+L426+L466+L546+L554</f>
        <v>730299</v>
      </c>
      <c r="M557" s="475">
        <f>M9+M31+M37+M58+M71+M89+M148+M157+M185+M192+M196+M304+M320+M336+M426+M466+M546+M554</f>
        <v>986714</v>
      </c>
      <c r="N557" s="158">
        <f t="shared" si="67"/>
        <v>34892709</v>
      </c>
      <c r="O557" s="475">
        <f>O9+O31+O37+O58+O71+O89+O148+O157+O185+O192+O196+O304+O320+O336+O426+O466+O546+O554</f>
        <v>3672861</v>
      </c>
      <c r="P557" s="158">
        <f>P9+P31+P37+P58+P71+P89+P157+P185+P192+P196+P304+P320+P336+P426+P466+P546+P554</f>
        <v>30844656</v>
      </c>
      <c r="Q557" s="158">
        <f>Q9+Q31+Q37+Q58+Q71+Q89+Q157+Q185+Q192+Q196+Q304+Q320+Q336+Q426+Q466+Q546+Q554</f>
        <v>375192</v>
      </c>
    </row>
    <row r="558" spans="1:17" s="154" customFormat="1" ht="12" customHeight="1">
      <c r="A558" s="7"/>
      <c r="B558" s="639" t="s">
        <v>473</v>
      </c>
      <c r="C558" s="639"/>
      <c r="D558" s="2" t="s">
        <v>474</v>
      </c>
      <c r="E558" s="2" t="s">
        <v>474</v>
      </c>
      <c r="F558" s="2" t="s">
        <v>474</v>
      </c>
      <c r="G558" s="2" t="s">
        <v>474</v>
      </c>
      <c r="H558" s="2"/>
      <c r="I558" s="2"/>
      <c r="J558" s="2"/>
      <c r="K558" s="2"/>
      <c r="L558" s="2"/>
      <c r="M558" s="2"/>
      <c r="N558" s="7"/>
      <c r="O558" s="2"/>
      <c r="P558" s="2"/>
      <c r="Q558" s="2"/>
    </row>
    <row r="559" spans="1:17" s="154" customFormat="1" ht="16.5" customHeight="1">
      <c r="A559" s="32"/>
      <c r="B559" s="629" t="s">
        <v>475</v>
      </c>
      <c r="C559" s="630"/>
      <c r="D559" s="630"/>
      <c r="E559" s="238" t="e">
        <f aca="true" t="shared" si="70" ref="E559:J559">E557-E564</f>
        <v>#REF!</v>
      </c>
      <c r="F559" s="238" t="e">
        <f t="shared" si="70"/>
        <v>#REF!</v>
      </c>
      <c r="G559" s="238" t="e">
        <f t="shared" si="70"/>
        <v>#REF!</v>
      </c>
      <c r="H559" s="238" t="e">
        <f t="shared" si="70"/>
        <v>#REF!</v>
      </c>
      <c r="I559" s="238" t="e">
        <f t="shared" si="70"/>
        <v>#REF!</v>
      </c>
      <c r="J559" s="238" t="e">
        <f t="shared" si="70"/>
        <v>#REF!</v>
      </c>
      <c r="K559" s="238">
        <f>K557-K564</f>
        <v>28454580</v>
      </c>
      <c r="L559" s="238">
        <f>L557-L564</f>
        <v>671904</v>
      </c>
      <c r="M559" s="238">
        <f>M557-M564</f>
        <v>897994</v>
      </c>
      <c r="N559" s="239">
        <f t="shared" si="67"/>
        <v>28228490</v>
      </c>
      <c r="O559" s="238">
        <f>O557-O564</f>
        <v>3672861</v>
      </c>
      <c r="P559" s="238">
        <f>P557-P564</f>
        <v>24180437</v>
      </c>
      <c r="Q559" s="238">
        <f>Q557-Q564</f>
        <v>375192</v>
      </c>
    </row>
    <row r="560" spans="1:17" s="154" customFormat="1" ht="17.25" customHeight="1">
      <c r="A560" s="32"/>
      <c r="B560" s="626" t="s">
        <v>476</v>
      </c>
      <c r="C560" s="627"/>
      <c r="D560" s="627"/>
      <c r="E560" s="7" t="e">
        <f>E13+E15+E40+E41+E78+E80+E91+E92+E111+E112+#REF!+#REF!+#REF!+#REF!+#REF!+#REF!+E199+E200+E214+E215+E226+E227+#REF!+#REF!+E257+E258+#REF!+#REF!+E282+E283+#REF!+#REF!+E340+E341+E357+E358+E391+E392+E428+E437+E438+E469+E470+E487+E488+E503+E504+E14+E160+E161+E162+E163+E164+#REF!+#REF!+#REF!</f>
        <v>#REF!</v>
      </c>
      <c r="F560" s="7" t="e">
        <f>F13+F15+F40+F41+F78+F80+F91+F92+F111+F112+#REF!+#REF!+#REF!+#REF!+#REF!+#REF!+F199+F200+F214+F215+F226+F227+#REF!+#REF!+F257+F258+#REF!+#REF!+F282+F283+#REF!+#REF!+F340+F341+F357+F358+F391+F392+F428+F437+F438+F469+F470+F487+F488+F503+F504+F14+F160+F161+F162+F163+F164+#REF!+#REF!+#REF!</f>
        <v>#REF!</v>
      </c>
      <c r="G560" s="7" t="e">
        <f>G13+G15+G40+G41+G78+G80+G91+G92+G111+G112+#REF!+#REF!+#REF!+#REF!+#REF!+#REF!+G199+G200+G214+G215+G226+G227+#REF!+#REF!+G257+G258+#REF!+#REF!+G282+G283+#REF!+#REF!+G340+G341+G357+G358+G391+G392+G428+G437+G438+G469+G470+G487+G488+G503+G504+G14+G160+G161+G162+G163+G164+#REF!+#REF!+#REF!</f>
        <v>#REF!</v>
      </c>
      <c r="H560" s="7" t="e">
        <f>H13+H14+H15+H40+H41+H78+H79+H80+H91+H92+H111+H112+#REF!+#REF!+#REF!+#REF!+#REF!+#REF!+#REF!+H160+H161+H162+H163+H164+#REF!++H199+H200+H214+H215+H226+H227+H257+H258+#REF!+H282+H283+H340+H341+H357+H358+H391+H392+H428+H429+#REF!+#REF!+H437+H438+H469+H470+H487+H488+H503+H504+H297+H247</f>
        <v>#REF!</v>
      </c>
      <c r="I560" s="7" t="e">
        <f>I13+I14+I15+I40+I41+I78+I79+I80+I91+I92+I111+I112+#REF!+#REF!+#REF!+#REF!+#REF!+#REF!+#REF!+I160+I161+I162+I163+I164+#REF!++I199+I200+I214+I215+I226+I227+I257+I258+#REF!+I282+I283+I340+I341+I357+I358+I391+I392+I428+I429+#REF!+#REF!+I437+I438+I469+I470+I487+I488+I503+I504+I297+I247</f>
        <v>#REF!</v>
      </c>
      <c r="J560" s="7" t="e">
        <f>J13+J14+J15+J40+J41+J78+J79+J80+J91+J92+J111+J112+#REF!+#REF!+#REF!+#REF!+#REF!+#REF!+#REF!+J160+J161+J162+J163+J164+#REF!++J199+J200+J214+J215+J226+J227+J257+J258+#REF!+J282+J283+J340+J341+J357+J358+J391+J392+J428+J429+#REF!+#REF!+J437+J438+J469+J470+J487+J488+J503+J504+J297+J247</f>
        <v>#REF!</v>
      </c>
      <c r="K560" s="461">
        <f>(K40+K41+K44+K60+K73+K78+K79+K80+K91+K92+K95+K111+K112+K115+K134+K140+K144+K151+K160+K161+K162+K163+K164+K182+K199+K200+K203+K214+K215+K226+K227+K232+K247+K248+K257+K258+K262+K282+K283+K292+K297+K300+K308+K309+K314+K315+K329+K340+K341+K344+K357+K358+K375+K385+K391+K392+K395+K404+K428+K429+K437+K438+K420+K441+K452+K453+K458+K459+K469+K470+K487+K488+K491+K503+K504+K507+K523+K524+K531+K532+K533+K541)</f>
        <v>13641425</v>
      </c>
      <c r="L560" s="461">
        <f>(L40+L41+L44+L60+L73+L78+L79+L80+L91+L92+L95+L111+L112+L115+L134+L140+L144+L151+L160+L161+L162+L163+L164+L182+L199+L200+L203+L214+L215+L226+L227+L232+L247+L248+L257+L258+L262+L282+L283+L292+L297+L300+L308+L309+L314+L315+L329+L340+L341+L344+L357+L358+L375+L385+L391+L392+L395+L404+L428+L429+L437+L438+L420+L441+L452+L453+L458+L459+L469+L470+L487+L488+L491+L503+L504+L507+L523+L524+L531+L532+L533+L541)</f>
        <v>48624</v>
      </c>
      <c r="M560" s="461">
        <f>(M40+M41+M44+M60+M73+M78+M79+M80+M91+M92+M95+M111+M112+M115+M134+M140+M144+M151+M160+M161+M162+M163+M164+M182+M199+M200+M203+M214+M215+M226+M227+M232+M247+M248+M257+M258+M262+M282+M283+M292+M297+M300+M308+M309+M314+M315+M329+M340+M341+M344+M357+M358+M375+M385+M391+M392+M395+M404+M428+M429+M437+M438+M420+M441+M452+M453+M458+M459+M469+M470+M487+M488+M491+M503+M504+M507+M523+M524+M531+M532+M533+M541)</f>
        <v>360059</v>
      </c>
      <c r="N560" s="461">
        <f>(N40+N41+N44+N60+N73+N78+N79+N80+N91+N92+N95+N111+N112+N115+N134+N140+N144+N151+N160+N161+N162+N163+N164+N182+N199+N200+N203+N214+N215+N226+N227+N232+N247+N248+N257+N258+N262+N282+N283+N292+N297+N300+N308+N309+N314+N315+N329+N340+N341+N344+N357+N358+N375+N385+N391+N392+N395+N404+N428+N429+N437+N438+N420+N441+N452+N453+N458+N459+N469+N470+N487+N488+N491+N503+N504+N507+N523+N524+N531+N532+N533+N541)</f>
        <v>13329990</v>
      </c>
      <c r="O560" s="516">
        <f>O60+O73+O78+O79+O80+O91+O92+O95+O151+O134+O160+O161+O162+O163+O164+O182+O375+O385</f>
        <v>1857018</v>
      </c>
      <c r="P560" s="7">
        <f>(N560-O560)</f>
        <v>11472972</v>
      </c>
      <c r="Q560" s="7">
        <f>Q40+Q41+Q44+Q78+Q79+Q80+Q91+Q92+Q95+Q111+Q112+Q114+Q134+Q140+Q144+Q160+Q161+Q162+Q163+Q164+Q199+Q200+Q203+Q214+Q215+Q226+Q227+Q232+Q247+Q248+Q257+Q258+Q262+Q282+Q283+Q292+Q297+Q300+Q314+Q315+Q329+Q340+Q341+Q357+Q358+Q391+Q392+Q395+Q404+Q428+Q429+Q437+Q438+Q441+Q469+Q470+Q487+Q488+Q491+Q503+Q504+Q507+Q532+Q533+Q541</f>
        <v>0</v>
      </c>
    </row>
    <row r="561" spans="1:17" s="154" customFormat="1" ht="15.75" customHeight="1">
      <c r="A561" s="32"/>
      <c r="B561" s="626" t="s">
        <v>477</v>
      </c>
      <c r="C561" s="627"/>
      <c r="D561" s="627"/>
      <c r="E561" s="7" t="e">
        <f>E16+E17+E42+E43+E81+E82+E93+E94+E113+E115+E132+E133+#REF!+#REF!+E165+E166+E201+E202+E216+E217+E228+E229+E259+E260+#REF!+#REF!+#REF!+#REF!+E284+E285+#REF!+#REF!+E342+E343+E359+E360+E393+E394+E430+E431+E439+E440+E471+E472+E489+E490+E505+E506+E293+#REF!+#REF!+#REF!+#REF!+#REF!</f>
        <v>#REF!</v>
      </c>
      <c r="F561" s="7" t="e">
        <f>F16+F17+F42+F43+F81+F82+F93+F94+F113+F115+F132+F133+#REF!+#REF!+F165+F166+F201+F202+F216+F217+F228+F229+F259+F260+#REF!+#REF!+#REF!+#REF!+F284+F285+#REF!+#REF!+F342+F343+F359+F360+F393+F394+F430+F431+F439+F440+F471+F472+F489+F490+F505+F506+F293+#REF!+#REF!+#REF!+#REF!+#REF!</f>
        <v>#REF!</v>
      </c>
      <c r="G561" s="7" t="e">
        <f>G16+G17+G42+G43+G81+G82+G93+G94+G113+G115+G132+G133+#REF!+#REF!+G165+G166+G201+G202+G216+G217+G228+G229+G259+G260+#REF!+#REF!+#REF!+#REF!+G284+G285+#REF!+#REF!+G342+G343+G359+G360+G393+G394+G430+G431+G439+G440+G471+G472+G489+G490+G505+G506+G293+#REF!+#REF!+#REF!+#REF!+#REF!</f>
        <v>#REF!</v>
      </c>
      <c r="H561" s="7" t="e">
        <f>H16+H17+H42+H43+H81+H82+H93+H94+H113+H115+H132+H133+#REF!+#REF!+H165+H166+H201+H202+H216+H217+H228+H229+H259+H260+#REF!+#REF!+H284+H285+H342+H343+H359+H360+H393+H394+H430+H431+#REF!+#REF!+H439+H440+H471+H472+H489+H490+H505+H506+#REF!+#REF!+H298+H299+H249+H250</f>
        <v>#REF!</v>
      </c>
      <c r="I561" s="7" t="e">
        <f>I16+I17+I42+I43+I81+I82+I93+I94+I113+I115+I132+I133+#REF!+#REF!+I165+I166+I201+I202+I216+I217+I228+I229+I259+I260+#REF!+#REF!+I284+I285+I342+I343+I359+I360+I393+I394+I430+I431+#REF!+#REF!+I439+I440+I471+I472+I489+I490+I505+I506+#REF!+#REF!+I298+I299+I249+I250</f>
        <v>#REF!</v>
      </c>
      <c r="J561" s="7" t="e">
        <f>J16+J17+J42+J43+J81+J82+J93+J94+J113+J115+J132+J133+#REF!+#REF!+J165+J166+J201+J202+J216+J217+J228+J229+J259+J260+#REF!+#REF!+J284+J285+J342+J343+J359+J360+J393+J394+J430+J431+#REF!+#REF!+J439+J440+J471+J472+J489+J490+J505+J506+#REF!+#REF!+J298+J299+J249+J250</f>
        <v>#REF!</v>
      </c>
      <c r="K561" s="7">
        <f>K42+K43+K81+K82+K93+K94+K113+K114+K132+K133+K152+K153+K165+K166+K201+K202+K216+K217+K228+K229+K249+K250+K259+K260+K284+K285+K298+K299+K310+K311+K312+K313+K330+K331+K342+K343+K359+K360+K376+K377+K386+K387+K393+K394+K405+K406+K430+K431+K439+K440+K454+K455+K456+K457+K471+K472+K489+K490+K505+K506+K525+K526+K527+K528+K529+K530</f>
        <v>2299871</v>
      </c>
      <c r="L561" s="7">
        <f>L42+L43+L81+L82+L93+L94+L113+L114+L132+L133+L152+L153+L165+L166+L201+L202+L216+L217+L228+L229+L249+L250+L259+L260+L284+L285+L298+L299+L310+L311+L312+L313+L330+L331+L342+L343+L359+L360+L376+L377+L386+L387+L393+L394+L405+L406+L430+L431+L439+L440+L454+L455+L456+L457+L471+L472+L489+L490+L505+L506+L525+L526+L527+L528+L529+L530</f>
        <v>12826</v>
      </c>
      <c r="M561" s="7">
        <f>M42+M43+M81+M82+M93+M94+M113+M114+M132+M133+M152+M153+M165+M166+M201+M202+M216+M217+M228+M229+M249+M250+M259+M260+M284+M285+M298+M299+M310+M311+M312+M313+M330+M331+M342+M343+M359+M360+M376+M377+M386+M387+M393+M394+M405+M406+M430+M431+M439+M440+M454+M455+M456+M457+M471+M472+M489+M490+M505+M506+M525+M526+M527+M528+M529+M530</f>
        <v>78694</v>
      </c>
      <c r="N561" s="7">
        <f>N42+N43+N81+N82+N93+N94+N113+N114+N132+N133+N152+N153+N165+N166+N201+N202+N216+N217+N228+N229+N249+N250+N259+N260+N284+N285+N298+N299+N310+N311+N312+N313+N330+N331+N342+N343+N359+N360+N376+N377+N386+N387+N393+N394+N405+N406+N430+N431+N439+N440+N454+N455+N456+N457+N471+N472+N489+N490+N505+N506+N525+N526+N527+N528+N529+N530</f>
        <v>2234003</v>
      </c>
      <c r="O561" s="516">
        <f>O81+O82+O93+O94+O132+O133+O152+O153+O165+O166+O376+O377+O386+O387</f>
        <v>64449</v>
      </c>
      <c r="P561" s="7">
        <f>P42+P43+P113+P114+P201+P202+P216+P217+P228+P229+P249+P250+P259+P260+P284+P285+P298+P299+P310+P311+P312+P313+P330+P331+P342+P343+P359+P360+P386+P387+P393+P394+P405+P406+P430+P431+P439+P440+P454+P455+P456+P457+P471+P472+P489+P490+P505+P506+P525+P526+P527+P528+P529+P530</f>
        <v>2169554</v>
      </c>
      <c r="Q561" s="7">
        <f>Q42+Q43+Q81+Q82+Q93+Q94+Q113+Q115+Q132+Q133+Q165+Q166+Q201+Q202+Q216+Q217+Q228+Q229+Q249+Q250+Q259+Q260+Q284+Q285+Q298+Q299+Q330+Q331+Q342+Q343+Q359+Q360+Q393+Q394+Q405+Q406+Q430+Q431+Q439+Q440+Q471+Q472+Q489+Q490+Q505+Q506</f>
        <v>0</v>
      </c>
    </row>
    <row r="562" spans="1:17" s="154" customFormat="1" ht="21" customHeight="1">
      <c r="A562" s="32"/>
      <c r="B562" s="628" t="s">
        <v>199</v>
      </c>
      <c r="C562" s="625"/>
      <c r="D562" s="625"/>
      <c r="E562" s="7" t="e">
        <f>E125+E243+E278+#REF!+#REF!+#REF!+E295+E540+E548+#REF!+#REF!+#REF!+#REF!+#REF!+E322</f>
        <v>#REF!</v>
      </c>
      <c r="F562" s="7" t="e">
        <f>F125+F243+F278+#REF!+#REF!+#REF!+#REF!+F540+F548+F294+#REF!+#REF!+#REF!+#REF!+#REF!+F322</f>
        <v>#REF!</v>
      </c>
      <c r="G562" s="7" t="e">
        <f>G125+G243+G278+#REF!+#REF!+#REF!+#REF!+G540+G548+G294+#REF!+#REF!+#REF!+#REF!+#REF!+G322</f>
        <v>#REF!</v>
      </c>
      <c r="H562" s="7" t="e">
        <f>H210+H223+H243+H278+#REF!+H295+#REF!+#REF!+#REF!+H540+H548+H556+H97+#REF!+H551+#REF!+H211+#REF!+#REF!+#REF!+H322+#REF!+H30+#REF!</f>
        <v>#REF!</v>
      </c>
      <c r="I562" s="7" t="e">
        <f>I210+I223+I243+I278+#REF!+I295+#REF!+#REF!+#REF!+I540+I548+I556+I97+#REF!+I551+#REF!+I211+#REF!+#REF!+#REF!+I322+#REF!+I30+#REF!</f>
        <v>#REF!</v>
      </c>
      <c r="J562" s="7" t="e">
        <f>J210+J223+J243+J278+#REF!+J295+#REF!+#REF!+#REF!+J540+J548+J556+J97+#REF!+J551+#REF!+J211+#REF!+#REF!+#REF!+J322+#REF!+J30+#REF!</f>
        <v>#REF!</v>
      </c>
      <c r="K562" s="78">
        <f>K30+K101+K127+K139+K210+K212+K223+K243+K278+K290+K295+K322+K355+K382+K383+K540+K548+K556</f>
        <v>2014414</v>
      </c>
      <c r="L562" s="78">
        <f>L30+L101+L127+L139+L210+L212+L223+L243+L278+L290+L295+L322+L355+L382+L383+L540+L548+L556</f>
        <v>44803</v>
      </c>
      <c r="M562" s="78">
        <f>M30+M101+M127+M139+M210+M212+M223+M243+M278+M290+M295+M322+M355+M382+M383+M540+M548+M556</f>
        <v>23587</v>
      </c>
      <c r="N562" s="7">
        <f t="shared" si="67"/>
        <v>2035630</v>
      </c>
      <c r="O562" s="78">
        <f>O30+O101+O127+O139+O210+O212+O223+O243+O278+O295+O322+O355+O382+O383+O540+O548+O556</f>
        <v>0</v>
      </c>
      <c r="P562" s="78">
        <f>P30+P101+P127+P139+P210+P212+P223+P243+P278+P290+P322+P355+P382+P383+P540+P548+P556</f>
        <v>1660438</v>
      </c>
      <c r="Q562" s="78">
        <f>Q30+Q101+Q127+Q210+Q212+Q223+Q243+Q278+Q295+Q322+Q355+Q382+Q383+Q428+Q540+Q548+Q556</f>
        <v>375192</v>
      </c>
    </row>
    <row r="563" spans="1:17" s="154" customFormat="1" ht="15.75" customHeight="1">
      <c r="A563" s="32"/>
      <c r="B563" s="628" t="s">
        <v>514</v>
      </c>
      <c r="C563" s="625"/>
      <c r="D563" s="625"/>
      <c r="E563" s="7" t="e">
        <f aca="true" t="shared" si="71" ref="E563:Q563">E185</f>
        <v>#REF!</v>
      </c>
      <c r="F563" s="7" t="e">
        <f t="shared" si="71"/>
        <v>#REF!</v>
      </c>
      <c r="G563" s="7" t="e">
        <f t="shared" si="71"/>
        <v>#REF!</v>
      </c>
      <c r="H563" s="7" t="e">
        <f t="shared" si="71"/>
        <v>#REF!</v>
      </c>
      <c r="I563" s="7" t="e">
        <f t="shared" si="71"/>
        <v>#REF!</v>
      </c>
      <c r="J563" s="7" t="e">
        <f t="shared" si="71"/>
        <v>#REF!</v>
      </c>
      <c r="K563" s="7">
        <f>K185</f>
        <v>525200</v>
      </c>
      <c r="L563" s="7">
        <f>L185</f>
        <v>0</v>
      </c>
      <c r="M563" s="7">
        <f>M185</f>
        <v>98450</v>
      </c>
      <c r="N563" s="7">
        <f t="shared" si="67"/>
        <v>426750</v>
      </c>
      <c r="O563" s="7">
        <f t="shared" si="71"/>
        <v>0</v>
      </c>
      <c r="P563" s="7">
        <f t="shared" si="71"/>
        <v>426750</v>
      </c>
      <c r="Q563" s="7">
        <f t="shared" si="71"/>
        <v>0</v>
      </c>
    </row>
    <row r="564" spans="1:17" s="154" customFormat="1" ht="15.75" customHeight="1">
      <c r="A564" s="32"/>
      <c r="B564" s="631" t="s">
        <v>515</v>
      </c>
      <c r="C564" s="632"/>
      <c r="D564" s="632"/>
      <c r="E564" s="239" t="e">
        <f>E54+E55+#REF!+#REF!+#REF!+#REF!+#REF!+#REF!+#REF!+#REF!+#REF!+E277+#REF!</f>
        <v>#REF!</v>
      </c>
      <c r="F564" s="239" t="e">
        <f>F54+F55+#REF!+#REF!+#REF!+#REF!+#REF!+#REF!+#REF!+#REF!+#REF!+F277+#REF!</f>
        <v>#REF!</v>
      </c>
      <c r="G564" s="239" t="e">
        <f>G54+G55+#REF!+#REF!+#REF!+#REF!+#REF!+#REF!+#REF!+#REF!+G277+#REF!</f>
        <v>#REF!</v>
      </c>
      <c r="H564" s="239" t="e">
        <f>H54+#REF!+#REF!+#REF!+#REF!+#REF!+#REF!+H277+#REF!+#REF!+#REF!+#REF!+H325+H372+#REF!</f>
        <v>#REF!</v>
      </c>
      <c r="I564" s="239" t="e">
        <f>I54+#REF!+#REF!+#REF!+#REF!+#REF!+#REF!+I277+#REF!+#REF!+#REF!+#REF!+I325+I372+#REF!</f>
        <v>#REF!</v>
      </c>
      <c r="J564" s="239" t="e">
        <f>J54+#REF!+#REF!+#REF!+#REF!+#REF!+#REF!+J277+#REF!+#REF!+#REF!+#REF!+J325+J372+#REF!</f>
        <v>#REF!</v>
      </c>
      <c r="K564" s="239">
        <f>K565+K566</f>
        <v>6694544</v>
      </c>
      <c r="L564" s="239">
        <f>L565+L566</f>
        <v>58395</v>
      </c>
      <c r="M564" s="239">
        <f>M565+M566</f>
        <v>88720</v>
      </c>
      <c r="N564" s="239">
        <f t="shared" si="67"/>
        <v>6664219</v>
      </c>
      <c r="O564" s="239">
        <f>O565+O566</f>
        <v>0</v>
      </c>
      <c r="P564" s="239">
        <f>P565+P566</f>
        <v>6664219</v>
      </c>
      <c r="Q564" s="239">
        <f>Q565+Q566</f>
        <v>0</v>
      </c>
    </row>
    <row r="565" spans="1:17" s="154" customFormat="1" ht="15.75" customHeight="1">
      <c r="A565" s="32"/>
      <c r="B565" s="633" t="s">
        <v>72</v>
      </c>
      <c r="C565" s="634"/>
      <c r="D565" s="115"/>
      <c r="E565" s="7"/>
      <c r="F565" s="7"/>
      <c r="G565" s="7"/>
      <c r="H565" s="7"/>
      <c r="I565" s="101"/>
      <c r="J565" s="7"/>
      <c r="K565" s="7">
        <f>+K128</f>
        <v>0</v>
      </c>
      <c r="L565" s="7">
        <f>+L128</f>
        <v>0</v>
      </c>
      <c r="M565" s="7">
        <f>+M128</f>
        <v>0</v>
      </c>
      <c r="N565" s="7">
        <f t="shared" si="67"/>
        <v>0</v>
      </c>
      <c r="O565" s="7">
        <f>+O128</f>
        <v>0</v>
      </c>
      <c r="P565" s="7">
        <f>+P128</f>
        <v>0</v>
      </c>
      <c r="Q565" s="7">
        <f>+Q128</f>
        <v>0</v>
      </c>
    </row>
    <row r="566" spans="1:17" s="154" customFormat="1" ht="17.25" customHeight="1">
      <c r="A566" s="33"/>
      <c r="B566" s="625" t="s">
        <v>732</v>
      </c>
      <c r="C566" s="625"/>
      <c r="D566" s="625"/>
      <c r="E566" s="7" t="e">
        <f>E54+E55+#REF!+#REF!+#REF!+#REF!+#REF!+#REF!+#REF!+#REF!+#REF!+E277+#REF!</f>
        <v>#REF!</v>
      </c>
      <c r="F566" s="7" t="e">
        <f>F54+F55+#REF!+#REF!+#REF!+#REF!+#REF!+#REF!+#REF!+#REF!+#REF!+F277+#REF!</f>
        <v>#REF!</v>
      </c>
      <c r="G566" s="7" t="e">
        <f>G54+G55+#REF!+#REF!+#REF!+#REF!+#REF!+#REF!+#REF!+#REF!+#REF!+G277+#REF!</f>
        <v>#REF!</v>
      </c>
      <c r="H566" s="7" t="e">
        <f>H564</f>
        <v>#REF!</v>
      </c>
      <c r="I566" s="101" t="e">
        <f>I564</f>
        <v>#REF!</v>
      </c>
      <c r="J566" s="7" t="e">
        <f>J564</f>
        <v>#REF!</v>
      </c>
      <c r="K566" s="7">
        <f aca="true" t="shared" si="72" ref="K566:Q566">K54+K55+K56+K57+K70+K129+K179+K222+K277+K323+K324+K325+K327+K372+K373+K448+K415+K483+K484+K516+K517+K518</f>
        <v>6694544</v>
      </c>
      <c r="L566" s="7">
        <f t="shared" si="72"/>
        <v>58395</v>
      </c>
      <c r="M566" s="7">
        <f t="shared" si="72"/>
        <v>88720</v>
      </c>
      <c r="N566" s="7">
        <f t="shared" si="72"/>
        <v>6664219</v>
      </c>
      <c r="O566" s="7">
        <f t="shared" si="72"/>
        <v>0</v>
      </c>
      <c r="P566" s="7">
        <f t="shared" si="72"/>
        <v>6664219</v>
      </c>
      <c r="Q566" s="7">
        <f t="shared" si="72"/>
        <v>0</v>
      </c>
    </row>
    <row r="567" spans="1:17" s="154" customFormat="1" ht="14.25" customHeight="1">
      <c r="A567" s="645"/>
      <c r="B567" s="645"/>
      <c r="C567" s="645"/>
      <c r="D567" s="34"/>
      <c r="E567" s="34"/>
      <c r="F567" s="34"/>
      <c r="G567" s="34"/>
      <c r="H567" s="34"/>
      <c r="I567" s="34" t="s">
        <v>122</v>
      </c>
      <c r="J567" t="s">
        <v>175</v>
      </c>
      <c r="K567"/>
      <c r="L567"/>
      <c r="M567"/>
      <c r="N567"/>
      <c r="O567" s="34" t="s">
        <v>220</v>
      </c>
      <c r="P567" s="34"/>
      <c r="Q567" s="105"/>
    </row>
    <row r="568" spans="1:17" s="154" customFormat="1" ht="15.75" customHeight="1">
      <c r="A568" s="646"/>
      <c r="B568" s="646"/>
      <c r="C568" s="646"/>
      <c r="D568"/>
      <c r="E568"/>
      <c r="F568"/>
      <c r="G568"/>
      <c r="H568"/>
      <c r="I568" t="s">
        <v>671</v>
      </c>
      <c r="J568" s="34"/>
      <c r="K568" s="34"/>
      <c r="L568" s="34"/>
      <c r="M568" s="34"/>
      <c r="N568"/>
      <c r="O568"/>
      <c r="P568"/>
      <c r="Q568"/>
    </row>
    <row r="569" spans="1:17" s="154" customFormat="1" ht="12.75">
      <c r="A569"/>
      <c r="B569"/>
      <c r="C569"/>
      <c r="D569"/>
      <c r="E569" s="35"/>
      <c r="F569" s="35"/>
      <c r="G569" s="35"/>
      <c r="H569" s="35"/>
      <c r="I569" s="35"/>
      <c r="J569" s="34"/>
      <c r="K569" s="34"/>
      <c r="L569" s="34"/>
      <c r="M569" s="34"/>
      <c r="N569" s="35"/>
      <c r="O569"/>
      <c r="P569" s="590" t="s">
        <v>709</v>
      </c>
      <c r="Q569" s="590"/>
    </row>
    <row r="570" spans="1:17" s="154" customFormat="1" ht="12.75">
      <c r="A570"/>
      <c r="B570"/>
      <c r="C570"/>
      <c r="D570"/>
      <c r="E570"/>
      <c r="F570"/>
      <c r="G570"/>
      <c r="H570"/>
      <c r="I570"/>
      <c r="J570" s="34"/>
      <c r="K570" s="34"/>
      <c r="L570" s="34"/>
      <c r="M570" s="34"/>
      <c r="N570"/>
      <c r="O570"/>
      <c r="P570"/>
      <c r="Q570"/>
    </row>
    <row r="571" spans="1:17" s="154" customFormat="1" ht="12.75">
      <c r="A571"/>
      <c r="B571"/>
      <c r="C571"/>
      <c r="D571"/>
      <c r="E571"/>
      <c r="F571"/>
      <c r="G571"/>
      <c r="H571"/>
      <c r="I571"/>
      <c r="J571" s="34"/>
      <c r="K571" s="34"/>
      <c r="L571" s="34"/>
      <c r="M571" s="34"/>
      <c r="N571"/>
      <c r="O571"/>
      <c r="P571" s="590" t="s">
        <v>795</v>
      </c>
      <c r="Q571" s="590"/>
    </row>
    <row r="572" spans="1:17" s="154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s="154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s="154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</sheetData>
  <mergeCells count="36">
    <mergeCell ref="P569:Q569"/>
    <mergeCell ref="P571:Q571"/>
    <mergeCell ref="O1:Q1"/>
    <mergeCell ref="V2:Z2"/>
    <mergeCell ref="B2:Q2"/>
    <mergeCell ref="C3:Q3"/>
    <mergeCell ref="E5:E7"/>
    <mergeCell ref="D5:D7"/>
    <mergeCell ref="F5:F7"/>
    <mergeCell ref="O4:Q6"/>
    <mergeCell ref="A567:C568"/>
    <mergeCell ref="B4:B7"/>
    <mergeCell ref="A4:A7"/>
    <mergeCell ref="J5:J7"/>
    <mergeCell ref="I4:J4"/>
    <mergeCell ref="H4:H7"/>
    <mergeCell ref="A13:A24"/>
    <mergeCell ref="A391:A394"/>
    <mergeCell ref="G5:G7"/>
    <mergeCell ref="B9:B10"/>
    <mergeCell ref="N4:N7"/>
    <mergeCell ref="B558:C558"/>
    <mergeCell ref="I5:I7"/>
    <mergeCell ref="C4:C7"/>
    <mergeCell ref="K4:K7"/>
    <mergeCell ref="L4:L7"/>
    <mergeCell ref="M4:M7"/>
    <mergeCell ref="B559:D559"/>
    <mergeCell ref="B564:D564"/>
    <mergeCell ref="B565:C565"/>
    <mergeCell ref="B31:B32"/>
    <mergeCell ref="B566:D566"/>
    <mergeCell ref="B560:D560"/>
    <mergeCell ref="B561:D561"/>
    <mergeCell ref="B563:D563"/>
    <mergeCell ref="B562:D562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E1" sqref="E1:G1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5.875" style="0" customWidth="1"/>
    <col min="4" max="4" width="42.125" style="0" customWidth="1"/>
    <col min="5" max="5" width="14.625" style="0" customWidth="1"/>
    <col min="6" max="7" width="13.75390625" style="0" customWidth="1"/>
  </cols>
  <sheetData>
    <row r="1" spans="5:7" ht="40.5" customHeight="1">
      <c r="E1" s="659" t="s">
        <v>811</v>
      </c>
      <c r="F1" s="677"/>
      <c r="G1" s="677"/>
    </row>
    <row r="2" ht="3" customHeight="1" hidden="1"/>
    <row r="3" ht="12.75" hidden="1"/>
    <row r="4" ht="12.75" hidden="1"/>
    <row r="5" spans="1:7" ht="31.5" customHeight="1">
      <c r="A5" s="690" t="s">
        <v>144</v>
      </c>
      <c r="B5" s="690"/>
      <c r="C5" s="690"/>
      <c r="D5" s="690"/>
      <c r="E5" s="690"/>
      <c r="F5" s="690"/>
      <c r="G5" s="690"/>
    </row>
    <row r="6" ht="13.5" thickBot="1"/>
    <row r="7" spans="1:7" ht="13.5" thickBot="1">
      <c r="A7" s="685" t="s">
        <v>516</v>
      </c>
      <c r="B7" s="686"/>
      <c r="C7" s="687"/>
      <c r="D7" s="681" t="s">
        <v>517</v>
      </c>
      <c r="E7" s="688" t="s">
        <v>518</v>
      </c>
      <c r="F7" s="683" t="s">
        <v>519</v>
      </c>
      <c r="G7" s="679" t="s">
        <v>520</v>
      </c>
    </row>
    <row r="8" spans="1:7" ht="90.75" customHeight="1">
      <c r="A8" s="10" t="s">
        <v>521</v>
      </c>
      <c r="B8" s="10" t="s">
        <v>522</v>
      </c>
      <c r="C8" s="36" t="s">
        <v>204</v>
      </c>
      <c r="D8" s="682"/>
      <c r="E8" s="689"/>
      <c r="F8" s="684"/>
      <c r="G8" s="680"/>
    </row>
    <row r="9" spans="1:7" ht="12.75">
      <c r="A9" s="173">
        <v>1</v>
      </c>
      <c r="B9" s="70">
        <v>2</v>
      </c>
      <c r="C9" s="70">
        <v>3</v>
      </c>
      <c r="D9" s="63">
        <v>4</v>
      </c>
      <c r="E9" s="38">
        <v>5</v>
      </c>
      <c r="F9" s="38">
        <v>6</v>
      </c>
      <c r="G9" s="38">
        <v>7</v>
      </c>
    </row>
    <row r="10" spans="1:8" ht="17.25" customHeight="1">
      <c r="A10" s="174" t="s">
        <v>523</v>
      </c>
      <c r="B10" s="174"/>
      <c r="C10" s="174"/>
      <c r="D10" s="174" t="s">
        <v>524</v>
      </c>
      <c r="E10" s="166">
        <v>0</v>
      </c>
      <c r="F10" s="166">
        <v>0</v>
      </c>
      <c r="G10" s="166">
        <f>G11+G12</f>
        <v>138608</v>
      </c>
      <c r="H10" t="s">
        <v>137</v>
      </c>
    </row>
    <row r="11" spans="1:7" ht="12.75">
      <c r="A11" s="169" t="s">
        <v>213</v>
      </c>
      <c r="B11" s="169" t="s">
        <v>42</v>
      </c>
      <c r="C11" s="169" t="s">
        <v>43</v>
      </c>
      <c r="D11" s="170" t="s">
        <v>44</v>
      </c>
      <c r="E11" s="138">
        <v>0</v>
      </c>
      <c r="F11" s="138">
        <v>0</v>
      </c>
      <c r="G11" s="138">
        <v>608</v>
      </c>
    </row>
    <row r="12" spans="1:7" ht="12.75">
      <c r="A12" s="170">
        <v>700</v>
      </c>
      <c r="B12" s="170">
        <v>70005</v>
      </c>
      <c r="C12" s="170">
        <v>2350</v>
      </c>
      <c r="D12" s="171" t="s">
        <v>280</v>
      </c>
      <c r="E12" s="138">
        <v>0</v>
      </c>
      <c r="F12" s="138">
        <v>0</v>
      </c>
      <c r="G12" s="138">
        <v>138000</v>
      </c>
    </row>
    <row r="13" spans="1:7" ht="12.75">
      <c r="A13" s="174" t="s">
        <v>525</v>
      </c>
      <c r="B13" s="676" t="s">
        <v>526</v>
      </c>
      <c r="C13" s="676"/>
      <c r="D13" s="676"/>
      <c r="E13" s="676"/>
      <c r="F13" s="676"/>
      <c r="G13" s="174"/>
    </row>
    <row r="14" spans="1:7" ht="25.5">
      <c r="A14" s="167" t="s">
        <v>213</v>
      </c>
      <c r="B14" s="167" t="s">
        <v>258</v>
      </c>
      <c r="C14" s="167" t="s">
        <v>411</v>
      </c>
      <c r="D14" s="168" t="s">
        <v>528</v>
      </c>
      <c r="E14" s="140">
        <f>'Z1'!V13</f>
        <v>30000</v>
      </c>
      <c r="F14" s="140">
        <f>F15</f>
        <v>30000</v>
      </c>
      <c r="G14" s="138">
        <v>0</v>
      </c>
    </row>
    <row r="15" spans="1:7" ht="12.75">
      <c r="A15" s="418"/>
      <c r="B15" s="418"/>
      <c r="C15" s="418" t="s">
        <v>250</v>
      </c>
      <c r="D15" s="107" t="s">
        <v>352</v>
      </c>
      <c r="E15" s="192">
        <v>0</v>
      </c>
      <c r="F15" s="192">
        <f>'Z 2'!O28</f>
        <v>30000</v>
      </c>
      <c r="G15" s="419">
        <v>0</v>
      </c>
    </row>
    <row r="16" spans="1:7" ht="12.75" hidden="1">
      <c r="A16" s="12" t="s">
        <v>213</v>
      </c>
      <c r="B16" s="12" t="s">
        <v>216</v>
      </c>
      <c r="C16" s="12" t="s">
        <v>527</v>
      </c>
      <c r="D16" s="6" t="s">
        <v>538</v>
      </c>
      <c r="E16" s="6" t="e">
        <f>#REF!</f>
        <v>#REF!</v>
      </c>
      <c r="F16" s="6">
        <f>F17+F18+F19+F20+F22+F21+F23+F24+F25+F26+F27+F28</f>
        <v>0</v>
      </c>
      <c r="G16" s="14">
        <v>0</v>
      </c>
    </row>
    <row r="17" spans="1:7" ht="12.75" hidden="1">
      <c r="A17" s="23"/>
      <c r="B17" s="23"/>
      <c r="C17" s="23" t="s">
        <v>234</v>
      </c>
      <c r="D17" s="8" t="s">
        <v>235</v>
      </c>
      <c r="E17" s="7">
        <v>0</v>
      </c>
      <c r="F17" s="7">
        <v>0</v>
      </c>
      <c r="G17" s="19">
        <v>0</v>
      </c>
    </row>
    <row r="18" spans="1:7" ht="25.5" hidden="1">
      <c r="A18" s="23"/>
      <c r="B18" s="23"/>
      <c r="C18" s="23" t="s">
        <v>236</v>
      </c>
      <c r="D18" s="8" t="s">
        <v>237</v>
      </c>
      <c r="E18" s="7">
        <v>0</v>
      </c>
      <c r="F18" s="7">
        <v>0</v>
      </c>
      <c r="G18" s="19">
        <v>0</v>
      </c>
    </row>
    <row r="19" spans="1:7" ht="12.75" hidden="1">
      <c r="A19" s="23"/>
      <c r="B19" s="23"/>
      <c r="C19" s="23" t="s">
        <v>238</v>
      </c>
      <c r="D19" s="7" t="s">
        <v>539</v>
      </c>
      <c r="E19" s="7">
        <v>0</v>
      </c>
      <c r="F19" s="7">
        <v>0</v>
      </c>
      <c r="G19" s="19">
        <v>0</v>
      </c>
    </row>
    <row r="20" spans="1:7" ht="12.75" hidden="1">
      <c r="A20" s="23"/>
      <c r="B20" s="23"/>
      <c r="C20" s="48" t="s">
        <v>267</v>
      </c>
      <c r="D20" s="8" t="s">
        <v>540</v>
      </c>
      <c r="E20" s="7">
        <v>0</v>
      </c>
      <c r="F20" s="7">
        <v>0</v>
      </c>
      <c r="G20" s="19">
        <v>0</v>
      </c>
    </row>
    <row r="21" spans="1:7" ht="12.75" hidden="1">
      <c r="A21" s="23"/>
      <c r="B21" s="23"/>
      <c r="C21" s="48" t="s">
        <v>242</v>
      </c>
      <c r="D21" s="8" t="s">
        <v>243</v>
      </c>
      <c r="E21" s="7">
        <v>0</v>
      </c>
      <c r="F21" s="7">
        <v>0</v>
      </c>
      <c r="G21" s="19">
        <v>0</v>
      </c>
    </row>
    <row r="22" spans="1:7" ht="12.75" hidden="1">
      <c r="A22" s="23"/>
      <c r="B22" s="23"/>
      <c r="C22" s="28">
        <v>4210</v>
      </c>
      <c r="D22" s="23" t="s">
        <v>245</v>
      </c>
      <c r="E22" s="7">
        <v>0</v>
      </c>
      <c r="F22" s="7">
        <v>0</v>
      </c>
      <c r="G22" s="19">
        <v>0</v>
      </c>
    </row>
    <row r="23" spans="1:7" ht="12.75" hidden="1">
      <c r="A23" s="23"/>
      <c r="B23" s="23"/>
      <c r="C23" s="28">
        <v>4260</v>
      </c>
      <c r="D23" s="23" t="s">
        <v>350</v>
      </c>
      <c r="E23" s="7">
        <v>0</v>
      </c>
      <c r="F23" s="7">
        <v>0</v>
      </c>
      <c r="G23" s="19">
        <v>0</v>
      </c>
    </row>
    <row r="24" spans="1:7" ht="12.75" hidden="1">
      <c r="A24" s="23"/>
      <c r="B24" s="23"/>
      <c r="C24" s="28">
        <v>4270</v>
      </c>
      <c r="D24" s="23" t="s">
        <v>351</v>
      </c>
      <c r="E24" s="7">
        <v>0</v>
      </c>
      <c r="F24" s="7">
        <v>0</v>
      </c>
      <c r="G24" s="19">
        <v>0</v>
      </c>
    </row>
    <row r="25" spans="1:7" ht="12.75" hidden="1">
      <c r="A25" s="23"/>
      <c r="B25" s="23"/>
      <c r="C25" s="28">
        <v>4300</v>
      </c>
      <c r="D25" s="23" t="s">
        <v>352</v>
      </c>
      <c r="E25" s="7">
        <v>0</v>
      </c>
      <c r="F25" s="7">
        <v>0</v>
      </c>
      <c r="G25" s="19">
        <v>0</v>
      </c>
    </row>
    <row r="26" spans="1:7" ht="12.75" hidden="1">
      <c r="A26" s="23"/>
      <c r="B26" s="23"/>
      <c r="C26" s="28">
        <v>4410</v>
      </c>
      <c r="D26" s="23" t="s">
        <v>253</v>
      </c>
      <c r="E26" s="7">
        <v>0</v>
      </c>
      <c r="F26" s="7">
        <v>0</v>
      </c>
      <c r="G26" s="19">
        <v>0</v>
      </c>
    </row>
    <row r="27" spans="1:7" ht="12.75" hidden="1">
      <c r="A27" s="23"/>
      <c r="B27" s="23"/>
      <c r="C27" s="28">
        <v>4430</v>
      </c>
      <c r="D27" s="23" t="s">
        <v>255</v>
      </c>
      <c r="E27" s="7">
        <v>0</v>
      </c>
      <c r="F27" s="7">
        <v>0</v>
      </c>
      <c r="G27" s="19">
        <v>0</v>
      </c>
    </row>
    <row r="28" spans="1:7" ht="12.75" hidden="1">
      <c r="A28" s="23"/>
      <c r="B28" s="23"/>
      <c r="C28" s="28">
        <v>4440</v>
      </c>
      <c r="D28" s="23" t="s">
        <v>257</v>
      </c>
      <c r="E28" s="7">
        <v>0</v>
      </c>
      <c r="F28" s="7">
        <v>0</v>
      </c>
      <c r="G28" s="19">
        <v>0</v>
      </c>
    </row>
    <row r="29" spans="1:7" ht="15.75" customHeight="1" hidden="1">
      <c r="A29" s="12" t="s">
        <v>259</v>
      </c>
      <c r="B29" s="12" t="s">
        <v>261</v>
      </c>
      <c r="C29" s="12" t="s">
        <v>527</v>
      </c>
      <c r="D29" s="6" t="s">
        <v>262</v>
      </c>
      <c r="E29" s="6">
        <v>0</v>
      </c>
      <c r="F29" s="6">
        <f>F30</f>
        <v>0</v>
      </c>
      <c r="G29" s="14">
        <v>0</v>
      </c>
    </row>
    <row r="30" spans="1:7" ht="15" customHeight="1" hidden="1">
      <c r="A30" s="23"/>
      <c r="B30" s="23"/>
      <c r="C30" s="23"/>
      <c r="D30" s="7" t="s">
        <v>391</v>
      </c>
      <c r="E30" s="7"/>
      <c r="F30" s="7">
        <v>0</v>
      </c>
      <c r="G30" s="19">
        <v>0</v>
      </c>
    </row>
    <row r="31" spans="1:7" ht="12.75">
      <c r="A31" s="167" t="s">
        <v>277</v>
      </c>
      <c r="B31" s="167" t="s">
        <v>279</v>
      </c>
      <c r="C31" s="167" t="s">
        <v>411</v>
      </c>
      <c r="D31" s="168" t="s">
        <v>280</v>
      </c>
      <c r="E31" s="140">
        <f>'Z1'!V43</f>
        <v>62000</v>
      </c>
      <c r="F31" s="140">
        <f>F32+F33+F34+F35+F36+F37+F38+F39</f>
        <v>62000</v>
      </c>
      <c r="G31" s="140">
        <v>0</v>
      </c>
    </row>
    <row r="32" spans="1:7" ht="12.75">
      <c r="A32" s="420"/>
      <c r="B32" s="420"/>
      <c r="C32" s="418" t="s">
        <v>97</v>
      </c>
      <c r="D32" s="107" t="s">
        <v>109</v>
      </c>
      <c r="E32" s="192">
        <v>0</v>
      </c>
      <c r="F32" s="192">
        <f>'Z 2'!O60</f>
        <v>0</v>
      </c>
      <c r="G32" s="194">
        <v>0</v>
      </c>
    </row>
    <row r="33" spans="1:7" ht="12.75">
      <c r="A33" s="418"/>
      <c r="B33" s="418"/>
      <c r="C33" s="418" t="s">
        <v>246</v>
      </c>
      <c r="D33" s="107" t="s">
        <v>350</v>
      </c>
      <c r="E33" s="192">
        <v>0</v>
      </c>
      <c r="F33" s="192">
        <f>'Z 2'!O61</f>
        <v>4093</v>
      </c>
      <c r="G33" s="192">
        <v>0</v>
      </c>
    </row>
    <row r="34" spans="1:7" ht="12.75">
      <c r="A34" s="420"/>
      <c r="B34" s="420"/>
      <c r="C34" s="418" t="s">
        <v>250</v>
      </c>
      <c r="D34" s="107" t="s">
        <v>352</v>
      </c>
      <c r="E34" s="192">
        <v>0</v>
      </c>
      <c r="F34" s="192">
        <f>'Z 2'!O63</f>
        <v>43909</v>
      </c>
      <c r="G34" s="419">
        <v>0</v>
      </c>
    </row>
    <row r="35" spans="1:7" ht="12.75">
      <c r="A35" s="420"/>
      <c r="B35" s="420"/>
      <c r="C35" s="418" t="s">
        <v>272</v>
      </c>
      <c r="D35" s="107" t="s">
        <v>273</v>
      </c>
      <c r="E35" s="192">
        <v>0</v>
      </c>
      <c r="F35" s="192">
        <f>'Z 2'!O65</f>
        <v>2638</v>
      </c>
      <c r="G35" s="419">
        <v>0</v>
      </c>
    </row>
    <row r="36" spans="1:7" ht="10.5" customHeight="1">
      <c r="A36" s="420"/>
      <c r="B36" s="420"/>
      <c r="C36" s="418" t="s">
        <v>313</v>
      </c>
      <c r="D36" s="107" t="s">
        <v>337</v>
      </c>
      <c r="E36" s="192">
        <v>0</v>
      </c>
      <c r="F36" s="192">
        <f>'Z 2'!O66</f>
        <v>4099</v>
      </c>
      <c r="G36" s="419">
        <v>0</v>
      </c>
    </row>
    <row r="37" spans="1:7" ht="12.75">
      <c r="A37" s="420"/>
      <c r="B37" s="420"/>
      <c r="C37" s="418" t="s">
        <v>355</v>
      </c>
      <c r="D37" s="107" t="s">
        <v>634</v>
      </c>
      <c r="E37" s="192">
        <v>0</v>
      </c>
      <c r="F37" s="192">
        <f>'Z 2'!O67</f>
        <v>175</v>
      </c>
      <c r="G37" s="419"/>
    </row>
    <row r="38" spans="1:7" ht="22.5">
      <c r="A38" s="420"/>
      <c r="B38" s="420"/>
      <c r="C38" s="418" t="s">
        <v>778</v>
      </c>
      <c r="D38" s="107" t="s">
        <v>181</v>
      </c>
      <c r="E38" s="192"/>
      <c r="F38" s="192">
        <f>'Z 2'!O68</f>
        <v>1182</v>
      </c>
      <c r="G38" s="419"/>
    </row>
    <row r="39" spans="1:7" ht="22.5">
      <c r="A39" s="420"/>
      <c r="B39" s="420"/>
      <c r="C39" s="418" t="s">
        <v>180</v>
      </c>
      <c r="D39" s="107" t="s">
        <v>181</v>
      </c>
      <c r="E39" s="192"/>
      <c r="F39" s="192">
        <f>'Z 2'!O69</f>
        <v>5904</v>
      </c>
      <c r="G39" s="419"/>
    </row>
    <row r="40" spans="1:7" ht="25.5">
      <c r="A40" s="167" t="s">
        <v>282</v>
      </c>
      <c r="B40" s="167" t="s">
        <v>284</v>
      </c>
      <c r="C40" s="167" t="s">
        <v>411</v>
      </c>
      <c r="D40" s="168" t="s">
        <v>288</v>
      </c>
      <c r="E40" s="140">
        <f>'Z1'!V46</f>
        <v>40000</v>
      </c>
      <c r="F40" s="140">
        <f>F41+F42</f>
        <v>40000</v>
      </c>
      <c r="G40" s="138">
        <v>0</v>
      </c>
    </row>
    <row r="41" spans="1:7" ht="12.75">
      <c r="A41" s="230"/>
      <c r="B41" s="230"/>
      <c r="C41" s="529" t="s">
        <v>97</v>
      </c>
      <c r="D41" s="107" t="s">
        <v>109</v>
      </c>
      <c r="E41" s="231"/>
      <c r="F41" s="159">
        <f>'Z 2'!N73</f>
        <v>4000</v>
      </c>
      <c r="G41" s="528"/>
    </row>
    <row r="42" spans="1:7" ht="12.75">
      <c r="A42" s="420"/>
      <c r="B42" s="420"/>
      <c r="C42" s="418" t="s">
        <v>250</v>
      </c>
      <c r="D42" s="107" t="s">
        <v>352</v>
      </c>
      <c r="E42" s="192">
        <v>0</v>
      </c>
      <c r="F42" s="192">
        <f>'Z 2'!O74</f>
        <v>36000</v>
      </c>
      <c r="G42" s="421">
        <v>0</v>
      </c>
    </row>
    <row r="43" spans="1:7" ht="15.75" customHeight="1">
      <c r="A43" s="167" t="s">
        <v>282</v>
      </c>
      <c r="B43" s="167" t="s">
        <v>289</v>
      </c>
      <c r="C43" s="167" t="s">
        <v>411</v>
      </c>
      <c r="D43" s="168" t="s">
        <v>290</v>
      </c>
      <c r="E43" s="140">
        <f>'Z1'!V47</f>
        <v>25000</v>
      </c>
      <c r="F43" s="140">
        <f>F44</f>
        <v>25000</v>
      </c>
      <c r="G43" s="138">
        <v>0</v>
      </c>
    </row>
    <row r="44" spans="1:7" ht="15.75" customHeight="1">
      <c r="A44" s="418"/>
      <c r="B44" s="418"/>
      <c r="C44" s="418" t="s">
        <v>250</v>
      </c>
      <c r="D44" s="107" t="s">
        <v>352</v>
      </c>
      <c r="E44" s="192">
        <v>0</v>
      </c>
      <c r="F44" s="192">
        <f>'Z 2'!O76</f>
        <v>25000</v>
      </c>
      <c r="G44" s="419">
        <v>0</v>
      </c>
    </row>
    <row r="45" spans="1:7" ht="15.75" customHeight="1">
      <c r="A45" s="167" t="s">
        <v>282</v>
      </c>
      <c r="B45" s="167" t="s">
        <v>291</v>
      </c>
      <c r="C45" s="167" t="s">
        <v>411</v>
      </c>
      <c r="D45" s="140" t="s">
        <v>292</v>
      </c>
      <c r="E45" s="140">
        <f>'Z1'!V51</f>
        <v>206278</v>
      </c>
      <c r="F45" s="140">
        <f>F46+F48+F49+F51+F50+F52+F53+F54+F55+F56+F47</f>
        <v>206278</v>
      </c>
      <c r="G45" s="138">
        <v>0</v>
      </c>
    </row>
    <row r="46" spans="1:7" ht="16.5" customHeight="1">
      <c r="A46" s="418"/>
      <c r="B46" s="420"/>
      <c r="C46" s="418" t="s">
        <v>234</v>
      </c>
      <c r="D46" s="107" t="s">
        <v>235</v>
      </c>
      <c r="E46" s="192">
        <v>0</v>
      </c>
      <c r="F46" s="192">
        <f>'Z 2'!O78</f>
        <v>63223</v>
      </c>
      <c r="G46" s="419">
        <v>0</v>
      </c>
    </row>
    <row r="47" spans="1:7" ht="18" customHeight="1">
      <c r="A47" s="418"/>
      <c r="B47" s="420"/>
      <c r="C47" s="418" t="s">
        <v>236</v>
      </c>
      <c r="D47" s="107" t="s">
        <v>237</v>
      </c>
      <c r="E47" s="192">
        <v>0</v>
      </c>
      <c r="F47" s="192">
        <f>'Z 2'!O79</f>
        <v>79706</v>
      </c>
      <c r="G47" s="419">
        <v>0</v>
      </c>
    </row>
    <row r="48" spans="1:7" ht="18.75" customHeight="1">
      <c r="A48" s="418"/>
      <c r="B48" s="420"/>
      <c r="C48" s="418" t="s">
        <v>238</v>
      </c>
      <c r="D48" s="108" t="s">
        <v>539</v>
      </c>
      <c r="E48" s="192">
        <v>0</v>
      </c>
      <c r="F48" s="192">
        <f>'Z 2'!O80</f>
        <v>8864</v>
      </c>
      <c r="G48" s="419">
        <v>0</v>
      </c>
    </row>
    <row r="49" spans="1:7" ht="18" customHeight="1">
      <c r="A49" s="418"/>
      <c r="B49" s="420"/>
      <c r="C49" s="422" t="s">
        <v>267</v>
      </c>
      <c r="D49" s="107" t="s">
        <v>307</v>
      </c>
      <c r="E49" s="192">
        <v>0</v>
      </c>
      <c r="F49" s="192">
        <f>'Z 2'!O81</f>
        <v>27435</v>
      </c>
      <c r="G49" s="419">
        <v>0</v>
      </c>
    </row>
    <row r="50" spans="1:7" ht="16.5" customHeight="1">
      <c r="A50" s="418"/>
      <c r="B50" s="420"/>
      <c r="C50" s="422" t="s">
        <v>242</v>
      </c>
      <c r="D50" s="107" t="s">
        <v>243</v>
      </c>
      <c r="E50" s="192">
        <v>0</v>
      </c>
      <c r="F50" s="192">
        <f>'Z 2'!O82</f>
        <v>3716</v>
      </c>
      <c r="G50" s="419">
        <v>0</v>
      </c>
    </row>
    <row r="51" spans="1:7" ht="19.5" customHeight="1">
      <c r="A51" s="418"/>
      <c r="B51" s="420"/>
      <c r="C51" s="418" t="s">
        <v>244</v>
      </c>
      <c r="D51" s="108" t="s">
        <v>245</v>
      </c>
      <c r="E51" s="192">
        <v>0</v>
      </c>
      <c r="F51" s="192">
        <f>'Z 2'!O83</f>
        <v>6988</v>
      </c>
      <c r="G51" s="419">
        <v>0</v>
      </c>
    </row>
    <row r="52" spans="1:7" ht="18" customHeight="1">
      <c r="A52" s="418"/>
      <c r="B52" s="420"/>
      <c r="C52" s="418" t="s">
        <v>246</v>
      </c>
      <c r="D52" s="107" t="s">
        <v>350</v>
      </c>
      <c r="E52" s="192">
        <v>0</v>
      </c>
      <c r="F52" s="192">
        <f>'Z 2'!O84</f>
        <v>2263</v>
      </c>
      <c r="G52" s="419">
        <v>0</v>
      </c>
    </row>
    <row r="53" spans="1:7" ht="17.25" customHeight="1">
      <c r="A53" s="418"/>
      <c r="B53" s="420"/>
      <c r="C53" s="418" t="s">
        <v>250</v>
      </c>
      <c r="D53" s="108" t="s">
        <v>352</v>
      </c>
      <c r="E53" s="192">
        <v>0</v>
      </c>
      <c r="F53" s="192">
        <f>'Z 2'!O85</f>
        <v>9892</v>
      </c>
      <c r="G53" s="419">
        <v>0</v>
      </c>
    </row>
    <row r="54" spans="1:7" ht="17.25" customHeight="1">
      <c r="A54" s="418"/>
      <c r="B54" s="420"/>
      <c r="C54" s="418" t="s">
        <v>252</v>
      </c>
      <c r="D54" s="108" t="s">
        <v>253</v>
      </c>
      <c r="E54" s="192">
        <v>0</v>
      </c>
      <c r="F54" s="192">
        <f>'Z 2'!O86</f>
        <v>0</v>
      </c>
      <c r="G54" s="419">
        <v>0</v>
      </c>
    </row>
    <row r="55" spans="1:7" ht="16.5" customHeight="1">
      <c r="A55" s="418"/>
      <c r="B55" s="420"/>
      <c r="C55" s="418" t="s">
        <v>254</v>
      </c>
      <c r="D55" s="108" t="s">
        <v>412</v>
      </c>
      <c r="E55" s="192">
        <v>0</v>
      </c>
      <c r="F55" s="192">
        <f>'Z 2'!O87</f>
        <v>1134</v>
      </c>
      <c r="G55" s="419">
        <v>0</v>
      </c>
    </row>
    <row r="56" spans="1:7" ht="15" customHeight="1">
      <c r="A56" s="418"/>
      <c r="B56" s="420"/>
      <c r="C56" s="418" t="s">
        <v>256</v>
      </c>
      <c r="D56" s="108" t="s">
        <v>257</v>
      </c>
      <c r="E56" s="192">
        <v>0</v>
      </c>
      <c r="F56" s="192">
        <f>'Z 2'!O88</f>
        <v>3057</v>
      </c>
      <c r="G56" s="419">
        <v>0</v>
      </c>
    </row>
    <row r="57" spans="1:7" ht="18" customHeight="1">
      <c r="A57" s="167" t="s">
        <v>294</v>
      </c>
      <c r="B57" s="167" t="s">
        <v>296</v>
      </c>
      <c r="C57" s="167" t="s">
        <v>411</v>
      </c>
      <c r="D57" s="140" t="s">
        <v>297</v>
      </c>
      <c r="E57" s="140">
        <f>'Z1'!V55</f>
        <v>102748</v>
      </c>
      <c r="F57" s="140">
        <f>F58+F59+F60+F61+F62+F63+F64+F65+F66</f>
        <v>102748</v>
      </c>
      <c r="G57" s="138">
        <v>0</v>
      </c>
    </row>
    <row r="58" spans="1:7" ht="18" customHeight="1">
      <c r="A58" s="418"/>
      <c r="B58" s="420"/>
      <c r="C58" s="418" t="s">
        <v>234</v>
      </c>
      <c r="D58" s="107" t="s">
        <v>235</v>
      </c>
      <c r="E58" s="192">
        <v>0</v>
      </c>
      <c r="F58" s="192">
        <f>'Z 2'!O91</f>
        <v>70400</v>
      </c>
      <c r="G58" s="419">
        <v>0</v>
      </c>
    </row>
    <row r="59" spans="1:7" ht="17.25" customHeight="1">
      <c r="A59" s="418"/>
      <c r="B59" s="420"/>
      <c r="C59" s="418" t="s">
        <v>238</v>
      </c>
      <c r="D59" s="108" t="s">
        <v>539</v>
      </c>
      <c r="E59" s="192">
        <v>0</v>
      </c>
      <c r="F59" s="192">
        <f>'Z 2'!O92</f>
        <v>4712</v>
      </c>
      <c r="G59" s="419">
        <v>0</v>
      </c>
    </row>
    <row r="60" spans="1:7" ht="19.5" customHeight="1">
      <c r="A60" s="418"/>
      <c r="B60" s="420"/>
      <c r="C60" s="422" t="s">
        <v>267</v>
      </c>
      <c r="D60" s="107" t="s">
        <v>307</v>
      </c>
      <c r="E60" s="192">
        <v>0</v>
      </c>
      <c r="F60" s="192">
        <f>'Z 2'!O93</f>
        <v>12873</v>
      </c>
      <c r="G60" s="419">
        <v>0</v>
      </c>
    </row>
    <row r="61" spans="1:7" ht="16.5" customHeight="1">
      <c r="A61" s="418"/>
      <c r="B61" s="420"/>
      <c r="C61" s="422" t="s">
        <v>242</v>
      </c>
      <c r="D61" s="107" t="s">
        <v>243</v>
      </c>
      <c r="E61" s="192">
        <v>0</v>
      </c>
      <c r="F61" s="192">
        <f>'Z 2'!O94</f>
        <v>1840</v>
      </c>
      <c r="G61" s="419">
        <v>0</v>
      </c>
    </row>
    <row r="62" spans="1:7" ht="15.75" customHeight="1">
      <c r="A62" s="418"/>
      <c r="B62" s="420"/>
      <c r="C62" s="422" t="s">
        <v>97</v>
      </c>
      <c r="D62" s="107" t="s">
        <v>109</v>
      </c>
      <c r="E62" s="192">
        <v>0</v>
      </c>
      <c r="F62" s="192">
        <f>'Z 2'!O95</f>
        <v>6600</v>
      </c>
      <c r="G62" s="419">
        <v>0</v>
      </c>
    </row>
    <row r="63" spans="1:7" ht="17.25" customHeight="1">
      <c r="A63" s="418"/>
      <c r="B63" s="420"/>
      <c r="C63" s="418" t="s">
        <v>244</v>
      </c>
      <c r="D63" s="108" t="s">
        <v>245</v>
      </c>
      <c r="E63" s="192">
        <v>0</v>
      </c>
      <c r="F63" s="192">
        <f>'Z 2'!O96</f>
        <v>1279</v>
      </c>
      <c r="G63" s="419">
        <v>0</v>
      </c>
    </row>
    <row r="64" spans="1:7" ht="17.25" customHeight="1">
      <c r="A64" s="418"/>
      <c r="B64" s="420"/>
      <c r="C64" s="418" t="s">
        <v>250</v>
      </c>
      <c r="D64" s="108" t="s">
        <v>352</v>
      </c>
      <c r="E64" s="192">
        <v>0</v>
      </c>
      <c r="F64" s="192">
        <f>'Z 2'!O97</f>
        <v>1672</v>
      </c>
      <c r="G64" s="419">
        <v>0</v>
      </c>
    </row>
    <row r="65" spans="1:7" ht="19.5" customHeight="1">
      <c r="A65" s="418"/>
      <c r="B65" s="420"/>
      <c r="C65" s="418" t="s">
        <v>252</v>
      </c>
      <c r="D65" s="108" t="s">
        <v>253</v>
      </c>
      <c r="E65" s="192">
        <v>0</v>
      </c>
      <c r="F65" s="192">
        <f>'Z 2'!O98</f>
        <v>738</v>
      </c>
      <c r="G65" s="419">
        <v>0</v>
      </c>
    </row>
    <row r="66" spans="1:7" ht="18" customHeight="1">
      <c r="A66" s="418"/>
      <c r="B66" s="420"/>
      <c r="C66" s="418" t="s">
        <v>256</v>
      </c>
      <c r="D66" s="108" t="s">
        <v>257</v>
      </c>
      <c r="E66" s="192">
        <v>0</v>
      </c>
      <c r="F66" s="192">
        <f>'Z 2'!O99</f>
        <v>2634</v>
      </c>
      <c r="G66" s="419">
        <v>0</v>
      </c>
    </row>
    <row r="67" spans="1:7" ht="17.25" customHeight="1">
      <c r="A67" s="167" t="s">
        <v>294</v>
      </c>
      <c r="B67" s="167" t="s">
        <v>305</v>
      </c>
      <c r="C67" s="167" t="s">
        <v>411</v>
      </c>
      <c r="D67" s="140" t="s">
        <v>306</v>
      </c>
      <c r="E67" s="140">
        <f>'Z1'!V63</f>
        <v>13000</v>
      </c>
      <c r="F67" s="140">
        <f>F68+F69+F70+F71+F72+F73+F74</f>
        <v>13000</v>
      </c>
      <c r="G67" s="138">
        <v>0</v>
      </c>
    </row>
    <row r="68" spans="1:7" ht="15.75" customHeight="1">
      <c r="A68" s="420"/>
      <c r="B68" s="420"/>
      <c r="C68" s="418" t="s">
        <v>232</v>
      </c>
      <c r="D68" s="108" t="s">
        <v>541</v>
      </c>
      <c r="E68" s="192">
        <v>0</v>
      </c>
      <c r="F68" s="192">
        <f>'Z 2'!O131</f>
        <v>5330</v>
      </c>
      <c r="G68" s="419">
        <v>0</v>
      </c>
    </row>
    <row r="69" spans="1:7" ht="15.75" customHeight="1">
      <c r="A69" s="420"/>
      <c r="B69" s="420"/>
      <c r="C69" s="418" t="s">
        <v>267</v>
      </c>
      <c r="D69" s="108" t="s">
        <v>307</v>
      </c>
      <c r="E69" s="192">
        <v>0</v>
      </c>
      <c r="F69" s="192">
        <f>'Z 2'!O132</f>
        <v>775</v>
      </c>
      <c r="G69" s="419">
        <v>0</v>
      </c>
    </row>
    <row r="70" spans="1:7" ht="15.75" customHeight="1">
      <c r="A70" s="420"/>
      <c r="B70" s="420"/>
      <c r="C70" s="418" t="s">
        <v>242</v>
      </c>
      <c r="D70" s="108" t="s">
        <v>243</v>
      </c>
      <c r="E70" s="192">
        <v>0</v>
      </c>
      <c r="F70" s="192">
        <f>'Z 2'!O133</f>
        <v>110</v>
      </c>
      <c r="G70" s="419">
        <v>0</v>
      </c>
    </row>
    <row r="71" spans="1:7" ht="15.75" customHeight="1">
      <c r="A71" s="420"/>
      <c r="B71" s="420"/>
      <c r="C71" s="418" t="s">
        <v>97</v>
      </c>
      <c r="D71" s="108" t="s">
        <v>109</v>
      </c>
      <c r="E71" s="192">
        <v>0</v>
      </c>
      <c r="F71" s="192">
        <f>'Z 2'!O134</f>
        <v>5400</v>
      </c>
      <c r="G71" s="419">
        <v>0</v>
      </c>
    </row>
    <row r="72" spans="1:7" ht="15.75" customHeight="1">
      <c r="A72" s="420"/>
      <c r="B72" s="420"/>
      <c r="C72" s="418" t="s">
        <v>244</v>
      </c>
      <c r="D72" s="108" t="s">
        <v>245</v>
      </c>
      <c r="E72" s="192">
        <v>0</v>
      </c>
      <c r="F72" s="192">
        <f>'Z 2'!O135</f>
        <v>687</v>
      </c>
      <c r="G72" s="419">
        <v>0</v>
      </c>
    </row>
    <row r="73" spans="1:7" ht="15.75" customHeight="1">
      <c r="A73" s="420"/>
      <c r="B73" s="420"/>
      <c r="C73" s="418" t="s">
        <v>250</v>
      </c>
      <c r="D73" s="108" t="s">
        <v>352</v>
      </c>
      <c r="E73" s="192">
        <v>0</v>
      </c>
      <c r="F73" s="192">
        <f>'Z 2'!O136</f>
        <v>450</v>
      </c>
      <c r="G73" s="419">
        <v>0</v>
      </c>
    </row>
    <row r="74" spans="1:7" ht="15.75" customHeight="1">
      <c r="A74" s="420"/>
      <c r="B74" s="420"/>
      <c r="C74" s="418" t="s">
        <v>252</v>
      </c>
      <c r="D74" s="108" t="s">
        <v>253</v>
      </c>
      <c r="E74" s="192">
        <v>0</v>
      </c>
      <c r="F74" s="192">
        <f>'Z 2'!O137</f>
        <v>248</v>
      </c>
      <c r="G74" s="419">
        <v>0</v>
      </c>
    </row>
    <row r="75" spans="1:7" ht="12.75" hidden="1">
      <c r="A75" s="12" t="s">
        <v>310</v>
      </c>
      <c r="B75" s="12" t="s">
        <v>312</v>
      </c>
      <c r="C75" s="12" t="s">
        <v>527</v>
      </c>
      <c r="D75" s="6" t="s">
        <v>338</v>
      </c>
      <c r="E75" s="6">
        <v>0</v>
      </c>
      <c r="F75" s="6">
        <f>F78+F80+F81+F82+F83+F85+F86+F87+F79+F88+F89+F90+F91+F92+F93+F94+F95+F76+F77+F84</f>
        <v>0</v>
      </c>
      <c r="G75" s="14">
        <v>0</v>
      </c>
    </row>
    <row r="76" spans="1:7" ht="12.75" hidden="1">
      <c r="A76" s="12"/>
      <c r="B76" s="12"/>
      <c r="C76" s="25" t="s">
        <v>218</v>
      </c>
      <c r="D76" s="15" t="s">
        <v>542</v>
      </c>
      <c r="E76" s="15">
        <v>0</v>
      </c>
      <c r="F76" s="15">
        <v>0</v>
      </c>
      <c r="G76" s="16">
        <v>0</v>
      </c>
    </row>
    <row r="77" spans="1:7" ht="12.75" hidden="1">
      <c r="A77" s="12"/>
      <c r="B77" s="12"/>
      <c r="C77" s="25" t="s">
        <v>232</v>
      </c>
      <c r="D77" s="15" t="s">
        <v>541</v>
      </c>
      <c r="E77" s="15">
        <v>0</v>
      </c>
      <c r="F77" s="15">
        <v>0</v>
      </c>
      <c r="G77" s="16">
        <v>0</v>
      </c>
    </row>
    <row r="78" spans="1:7" ht="12.75" hidden="1">
      <c r="A78" s="23"/>
      <c r="B78" s="23"/>
      <c r="C78" s="23" t="s">
        <v>234</v>
      </c>
      <c r="D78" s="8" t="s">
        <v>235</v>
      </c>
      <c r="E78" s="7">
        <v>0</v>
      </c>
      <c r="F78" s="7">
        <v>0</v>
      </c>
      <c r="G78" s="19">
        <v>0</v>
      </c>
    </row>
    <row r="79" spans="1:7" ht="12.75" hidden="1">
      <c r="A79" s="23"/>
      <c r="B79" s="23"/>
      <c r="C79" s="23" t="s">
        <v>236</v>
      </c>
      <c r="D79" s="8" t="s">
        <v>339</v>
      </c>
      <c r="E79" s="7">
        <v>0</v>
      </c>
      <c r="F79" s="7">
        <v>0</v>
      </c>
      <c r="G79" s="19">
        <v>0</v>
      </c>
    </row>
    <row r="80" spans="1:7" ht="12.75" hidden="1">
      <c r="A80" s="23"/>
      <c r="B80" s="23"/>
      <c r="C80" s="23" t="s">
        <v>238</v>
      </c>
      <c r="D80" s="8" t="s">
        <v>543</v>
      </c>
      <c r="E80" s="7">
        <v>0</v>
      </c>
      <c r="F80" s="7">
        <v>0</v>
      </c>
      <c r="G80" s="19">
        <v>0</v>
      </c>
    </row>
    <row r="81" spans="1:7" ht="25.5" hidden="1">
      <c r="A81" s="23"/>
      <c r="B81" s="23"/>
      <c r="C81" s="23" t="s">
        <v>340</v>
      </c>
      <c r="D81" s="8" t="s">
        <v>544</v>
      </c>
      <c r="E81" s="7">
        <v>0</v>
      </c>
      <c r="F81" s="7">
        <v>0</v>
      </c>
      <c r="G81" s="19">
        <v>0</v>
      </c>
    </row>
    <row r="82" spans="1:7" ht="12.75" hidden="1">
      <c r="A82" s="23"/>
      <c r="B82" s="23"/>
      <c r="C82" s="23" t="s">
        <v>341</v>
      </c>
      <c r="D82" s="7" t="s">
        <v>545</v>
      </c>
      <c r="E82" s="7">
        <v>0</v>
      </c>
      <c r="F82" s="7">
        <v>0</v>
      </c>
      <c r="G82" s="19">
        <v>0</v>
      </c>
    </row>
    <row r="83" spans="1:7" ht="12.75" hidden="1">
      <c r="A83" s="23"/>
      <c r="B83" s="23"/>
      <c r="C83" s="23" t="s">
        <v>343</v>
      </c>
      <c r="D83" s="7" t="s">
        <v>344</v>
      </c>
      <c r="E83" s="7">
        <v>0</v>
      </c>
      <c r="F83" s="7">
        <v>0</v>
      </c>
      <c r="G83" s="19">
        <v>0</v>
      </c>
    </row>
    <row r="84" spans="1:7" ht="25.5" hidden="1">
      <c r="A84" s="23"/>
      <c r="B84" s="23"/>
      <c r="C84" s="23" t="s">
        <v>345</v>
      </c>
      <c r="D84" s="8" t="s">
        <v>550</v>
      </c>
      <c r="E84" s="7">
        <v>0</v>
      </c>
      <c r="F84" s="7">
        <v>0</v>
      </c>
      <c r="G84" s="19"/>
    </row>
    <row r="85" spans="1:7" ht="12.75" hidden="1">
      <c r="A85" s="23"/>
      <c r="B85" s="23"/>
      <c r="C85" s="23" t="s">
        <v>267</v>
      </c>
      <c r="D85" s="8" t="s">
        <v>546</v>
      </c>
      <c r="E85" s="7">
        <v>0</v>
      </c>
      <c r="F85" s="7">
        <v>0</v>
      </c>
      <c r="G85" s="19">
        <v>0</v>
      </c>
    </row>
    <row r="86" spans="1:7" ht="18" customHeight="1" hidden="1">
      <c r="A86" s="23"/>
      <c r="B86" s="23"/>
      <c r="C86" s="48" t="s">
        <v>242</v>
      </c>
      <c r="D86" s="8" t="s">
        <v>243</v>
      </c>
      <c r="E86" s="7">
        <v>0</v>
      </c>
      <c r="F86" s="7">
        <v>0</v>
      </c>
      <c r="G86" s="19">
        <v>0</v>
      </c>
    </row>
    <row r="87" spans="1:7" ht="12.75" hidden="1">
      <c r="A87" s="23"/>
      <c r="B87" s="23"/>
      <c r="C87" s="23" t="s">
        <v>244</v>
      </c>
      <c r="D87" s="7" t="s">
        <v>245</v>
      </c>
      <c r="E87" s="7">
        <v>0</v>
      </c>
      <c r="F87" s="7">
        <v>0</v>
      </c>
      <c r="G87" s="19">
        <v>0</v>
      </c>
    </row>
    <row r="88" spans="1:7" ht="12.75" hidden="1">
      <c r="A88" s="23"/>
      <c r="B88" s="23"/>
      <c r="C88" s="23" t="s">
        <v>346</v>
      </c>
      <c r="D88" s="7" t="s">
        <v>547</v>
      </c>
      <c r="E88" s="7">
        <v>0</v>
      </c>
      <c r="F88" s="7">
        <v>0</v>
      </c>
      <c r="G88" s="19">
        <v>0</v>
      </c>
    </row>
    <row r="89" spans="1:7" ht="12.75" hidden="1">
      <c r="A89" s="23"/>
      <c r="B89" s="23"/>
      <c r="C89" s="23" t="s">
        <v>348</v>
      </c>
      <c r="D89" s="7" t="s">
        <v>349</v>
      </c>
      <c r="E89" s="7">
        <v>0</v>
      </c>
      <c r="F89" s="7">
        <v>0</v>
      </c>
      <c r="G89" s="19">
        <v>0</v>
      </c>
    </row>
    <row r="90" spans="1:7" ht="12.75" hidden="1">
      <c r="A90" s="23"/>
      <c r="B90" s="23"/>
      <c r="C90" s="23" t="s">
        <v>246</v>
      </c>
      <c r="D90" s="7" t="s">
        <v>350</v>
      </c>
      <c r="E90" s="7">
        <v>0</v>
      </c>
      <c r="F90" s="7">
        <v>0</v>
      </c>
      <c r="G90" s="19">
        <v>0</v>
      </c>
    </row>
    <row r="91" spans="1:7" ht="12.75" hidden="1">
      <c r="A91" s="23"/>
      <c r="B91" s="23"/>
      <c r="C91" s="23" t="s">
        <v>248</v>
      </c>
      <c r="D91" s="7" t="s">
        <v>351</v>
      </c>
      <c r="E91" s="7">
        <v>0</v>
      </c>
      <c r="F91" s="7">
        <v>0</v>
      </c>
      <c r="G91" s="19">
        <v>0</v>
      </c>
    </row>
    <row r="92" spans="1:7" ht="12.75" hidden="1">
      <c r="A92" s="23"/>
      <c r="B92" s="23"/>
      <c r="C92" s="23" t="s">
        <v>250</v>
      </c>
      <c r="D92" s="7" t="s">
        <v>352</v>
      </c>
      <c r="E92" s="7">
        <v>0</v>
      </c>
      <c r="F92" s="7">
        <v>0</v>
      </c>
      <c r="G92" s="19">
        <v>0</v>
      </c>
    </row>
    <row r="93" spans="1:7" ht="12.75" hidden="1">
      <c r="A93" s="23"/>
      <c r="B93" s="23"/>
      <c r="C93" s="23" t="s">
        <v>252</v>
      </c>
      <c r="D93" s="7" t="s">
        <v>253</v>
      </c>
      <c r="E93" s="7">
        <v>0</v>
      </c>
      <c r="F93" s="7">
        <v>0</v>
      </c>
      <c r="G93" s="19">
        <v>0</v>
      </c>
    </row>
    <row r="94" spans="1:7" ht="12.75" hidden="1">
      <c r="A94" s="23"/>
      <c r="B94" s="23"/>
      <c r="C94" s="23" t="s">
        <v>256</v>
      </c>
      <c r="D94" s="7" t="s">
        <v>257</v>
      </c>
      <c r="E94" s="7">
        <v>0</v>
      </c>
      <c r="F94" s="7">
        <v>0</v>
      </c>
      <c r="G94" s="19">
        <v>0</v>
      </c>
    </row>
    <row r="95" spans="1:7" ht="12.75" hidden="1">
      <c r="A95" s="23"/>
      <c r="B95" s="23"/>
      <c r="C95" s="23" t="s">
        <v>272</v>
      </c>
      <c r="D95" s="7" t="s">
        <v>273</v>
      </c>
      <c r="E95" s="7">
        <v>0</v>
      </c>
      <c r="F95" s="7">
        <v>0</v>
      </c>
      <c r="G95" s="19">
        <v>0</v>
      </c>
    </row>
    <row r="96" spans="1:7" ht="22.5">
      <c r="A96" s="167" t="s">
        <v>736</v>
      </c>
      <c r="B96" s="167" t="s">
        <v>737</v>
      </c>
      <c r="C96" s="167" t="s">
        <v>411</v>
      </c>
      <c r="D96" s="179" t="s">
        <v>739</v>
      </c>
      <c r="E96" s="477">
        <f>'Z1'!V67</f>
        <v>12520</v>
      </c>
      <c r="F96" s="476">
        <f>F97+F98+F99+F100+F101+F102+F103</f>
        <v>12520</v>
      </c>
      <c r="G96" s="478"/>
    </row>
    <row r="97" spans="1:7" ht="12.75">
      <c r="A97" s="23"/>
      <c r="B97" s="23"/>
      <c r="C97" s="23" t="s">
        <v>232</v>
      </c>
      <c r="D97" s="108" t="s">
        <v>541</v>
      </c>
      <c r="E97" s="7"/>
      <c r="F97" s="7">
        <f>'Z 2'!O150</f>
        <v>1470</v>
      </c>
      <c r="G97" s="19"/>
    </row>
    <row r="98" spans="1:7" ht="12.75">
      <c r="A98" s="23"/>
      <c r="B98" s="23"/>
      <c r="C98" s="23" t="s">
        <v>267</v>
      </c>
      <c r="D98" s="108" t="s">
        <v>541</v>
      </c>
      <c r="E98" s="7"/>
      <c r="F98" s="7">
        <f>'Z 2'!O151</f>
        <v>766</v>
      </c>
      <c r="G98" s="19"/>
    </row>
    <row r="99" spans="1:7" ht="12.75">
      <c r="A99" s="23"/>
      <c r="B99" s="23"/>
      <c r="C99" s="23" t="s">
        <v>242</v>
      </c>
      <c r="D99" s="108" t="s">
        <v>243</v>
      </c>
      <c r="E99" s="7"/>
      <c r="F99" s="7">
        <f>'Z 2'!O152</f>
        <v>110</v>
      </c>
      <c r="G99" s="19"/>
    </row>
    <row r="100" spans="1:7" ht="12.75">
      <c r="A100" s="23"/>
      <c r="B100" s="23"/>
      <c r="C100" s="23" t="s">
        <v>97</v>
      </c>
      <c r="D100" s="108" t="s">
        <v>109</v>
      </c>
      <c r="E100" s="7"/>
      <c r="F100" s="7">
        <f>'Z 2'!O153</f>
        <v>4480</v>
      </c>
      <c r="G100" s="19"/>
    </row>
    <row r="101" spans="1:7" ht="12.75">
      <c r="A101" s="23"/>
      <c r="B101" s="23"/>
      <c r="C101" s="23" t="s">
        <v>244</v>
      </c>
      <c r="D101" s="108" t="s">
        <v>245</v>
      </c>
      <c r="E101" s="7"/>
      <c r="F101" s="7">
        <f>'Z 2'!O154</f>
        <v>1065</v>
      </c>
      <c r="G101" s="19"/>
    </row>
    <row r="102" spans="1:7" ht="12.75">
      <c r="A102" s="23"/>
      <c r="B102" s="23"/>
      <c r="C102" s="23" t="s">
        <v>250</v>
      </c>
      <c r="D102" s="108" t="s">
        <v>352</v>
      </c>
      <c r="E102" s="7"/>
      <c r="F102" s="7">
        <f>'Z 2'!O155</f>
        <v>4453</v>
      </c>
      <c r="G102" s="19"/>
    </row>
    <row r="103" spans="1:7" ht="12.75">
      <c r="A103" s="23"/>
      <c r="B103" s="23"/>
      <c r="C103" s="23" t="s">
        <v>252</v>
      </c>
      <c r="D103" s="108" t="s">
        <v>253</v>
      </c>
      <c r="E103" s="7"/>
      <c r="F103" s="7">
        <f>'Z 2'!O156</f>
        <v>176</v>
      </c>
      <c r="G103" s="19"/>
    </row>
    <row r="104" spans="1:7" ht="17.25" customHeight="1">
      <c r="A104" s="167" t="s">
        <v>310</v>
      </c>
      <c r="B104" s="167" t="s">
        <v>353</v>
      </c>
      <c r="C104" s="167" t="s">
        <v>411</v>
      </c>
      <c r="D104" s="235" t="s">
        <v>548</v>
      </c>
      <c r="E104" s="140">
        <f>'Z1'!V72</f>
        <v>2201000</v>
      </c>
      <c r="F104" s="140">
        <f>F105+F106+F107+F108+F109+F110+F111+F112+F113+F114+F115+F116+F117+F118+F119+F120+F121+F122+F123+F124</f>
        <v>2201000</v>
      </c>
      <c r="G104" s="138">
        <v>0</v>
      </c>
    </row>
    <row r="105" spans="1:7" ht="15" customHeight="1">
      <c r="A105" s="423"/>
      <c r="B105" s="423"/>
      <c r="C105" s="370" t="s">
        <v>628</v>
      </c>
      <c r="D105" s="256" t="s">
        <v>657</v>
      </c>
      <c r="E105" s="424">
        <v>0</v>
      </c>
      <c r="F105" s="298">
        <f>'Z 2'!O159</f>
        <v>133020</v>
      </c>
      <c r="G105" s="425"/>
    </row>
    <row r="106" spans="1:7" ht="16.5" customHeight="1">
      <c r="A106" s="420"/>
      <c r="B106" s="418"/>
      <c r="C106" s="418" t="s">
        <v>236</v>
      </c>
      <c r="D106" s="107" t="s">
        <v>549</v>
      </c>
      <c r="E106" s="192">
        <v>0</v>
      </c>
      <c r="F106" s="298">
        <f>'Z 2'!O160</f>
        <v>19943</v>
      </c>
      <c r="G106" s="419">
        <v>0</v>
      </c>
    </row>
    <row r="107" spans="1:7" ht="15" customHeight="1">
      <c r="A107" s="420"/>
      <c r="B107" s="418"/>
      <c r="C107" s="418" t="s">
        <v>238</v>
      </c>
      <c r="D107" s="107" t="s">
        <v>543</v>
      </c>
      <c r="E107" s="192">
        <v>0</v>
      </c>
      <c r="F107" s="298">
        <f>'Z 2'!O161</f>
        <v>1557</v>
      </c>
      <c r="G107" s="419">
        <v>0</v>
      </c>
    </row>
    <row r="108" spans="1:7" ht="16.5" customHeight="1">
      <c r="A108" s="420"/>
      <c r="B108" s="418"/>
      <c r="C108" s="418" t="s">
        <v>340</v>
      </c>
      <c r="D108" s="107" t="s">
        <v>720</v>
      </c>
      <c r="E108" s="192">
        <v>0</v>
      </c>
      <c r="F108" s="298">
        <f>'Z 2'!O162</f>
        <v>1291911</v>
      </c>
      <c r="G108" s="419">
        <v>0</v>
      </c>
    </row>
    <row r="109" spans="1:7" ht="13.5" customHeight="1">
      <c r="A109" s="420"/>
      <c r="B109" s="418"/>
      <c r="C109" s="418" t="s">
        <v>341</v>
      </c>
      <c r="D109" s="108" t="s">
        <v>545</v>
      </c>
      <c r="E109" s="192">
        <v>0</v>
      </c>
      <c r="F109" s="298">
        <f>'Z 2'!O163</f>
        <v>182411</v>
      </c>
      <c r="G109" s="419">
        <v>0</v>
      </c>
    </row>
    <row r="110" spans="1:7" ht="12.75" customHeight="1">
      <c r="A110" s="420"/>
      <c r="B110" s="418"/>
      <c r="C110" s="418" t="s">
        <v>343</v>
      </c>
      <c r="D110" s="108" t="s">
        <v>344</v>
      </c>
      <c r="E110" s="192">
        <v>0</v>
      </c>
      <c r="F110" s="298">
        <f>'Z 2'!O164</f>
        <v>116025</v>
      </c>
      <c r="G110" s="419">
        <v>0</v>
      </c>
    </row>
    <row r="111" spans="1:7" ht="13.5" customHeight="1">
      <c r="A111" s="420"/>
      <c r="B111" s="418"/>
      <c r="C111" s="422" t="s">
        <v>267</v>
      </c>
      <c r="D111" s="107" t="s">
        <v>546</v>
      </c>
      <c r="E111" s="192">
        <v>0</v>
      </c>
      <c r="F111" s="298">
        <f>'Z 2'!O165</f>
        <v>12269</v>
      </c>
      <c r="G111" s="419">
        <v>0</v>
      </c>
    </row>
    <row r="112" spans="1:7" ht="12.75" customHeight="1">
      <c r="A112" s="420"/>
      <c r="B112" s="418"/>
      <c r="C112" s="422" t="s">
        <v>242</v>
      </c>
      <c r="D112" s="107" t="s">
        <v>243</v>
      </c>
      <c r="E112" s="192">
        <v>0</v>
      </c>
      <c r="F112" s="298">
        <f>'Z 2'!O166</f>
        <v>677</v>
      </c>
      <c r="G112" s="419">
        <v>0</v>
      </c>
    </row>
    <row r="113" spans="1:7" ht="13.5" customHeight="1">
      <c r="A113" s="420"/>
      <c r="B113" s="420"/>
      <c r="C113" s="418" t="s">
        <v>630</v>
      </c>
      <c r="D113" s="107" t="s">
        <v>145</v>
      </c>
      <c r="E113" s="192">
        <v>0</v>
      </c>
      <c r="F113" s="298">
        <f>'Z 2'!O167</f>
        <v>93612</v>
      </c>
      <c r="G113" s="426">
        <v>0</v>
      </c>
    </row>
    <row r="114" spans="1:7" ht="15" customHeight="1">
      <c r="A114" s="420"/>
      <c r="B114" s="420"/>
      <c r="C114" s="418" t="s">
        <v>244</v>
      </c>
      <c r="D114" s="108" t="s">
        <v>245</v>
      </c>
      <c r="E114" s="192">
        <v>0</v>
      </c>
      <c r="F114" s="298">
        <f>'Z 2'!O168</f>
        <v>212717</v>
      </c>
      <c r="G114" s="426">
        <v>0</v>
      </c>
    </row>
    <row r="115" spans="1:7" ht="14.25" customHeight="1">
      <c r="A115" s="420"/>
      <c r="B115" s="420"/>
      <c r="C115" s="418" t="s">
        <v>348</v>
      </c>
      <c r="D115" s="108" t="s">
        <v>349</v>
      </c>
      <c r="E115" s="192">
        <v>0</v>
      </c>
      <c r="F115" s="298">
        <f>'Z 2'!O169</f>
        <v>17866</v>
      </c>
      <c r="G115" s="426">
        <v>0</v>
      </c>
    </row>
    <row r="116" spans="1:7" ht="14.25" customHeight="1">
      <c r="A116" s="420"/>
      <c r="B116" s="420"/>
      <c r="C116" s="418" t="s">
        <v>246</v>
      </c>
      <c r="D116" s="108" t="s">
        <v>350</v>
      </c>
      <c r="E116" s="192">
        <v>0</v>
      </c>
      <c r="F116" s="298">
        <f>'Z 2'!O170</f>
        <v>17000</v>
      </c>
      <c r="G116" s="426">
        <v>0</v>
      </c>
    </row>
    <row r="117" spans="1:7" ht="14.25" customHeight="1">
      <c r="A117" s="420"/>
      <c r="B117" s="420"/>
      <c r="C117" s="418" t="s">
        <v>248</v>
      </c>
      <c r="D117" s="108" t="s">
        <v>351</v>
      </c>
      <c r="E117" s="192">
        <v>0</v>
      </c>
      <c r="F117" s="298">
        <f>'Z 2'!O171</f>
        <v>15061</v>
      </c>
      <c r="G117" s="426">
        <v>0</v>
      </c>
    </row>
    <row r="118" spans="1:7" ht="12.75" customHeight="1">
      <c r="A118" s="420"/>
      <c r="B118" s="420"/>
      <c r="C118" s="418" t="s">
        <v>314</v>
      </c>
      <c r="D118" s="108" t="s">
        <v>315</v>
      </c>
      <c r="E118" s="192">
        <v>0</v>
      </c>
      <c r="F118" s="298">
        <f>'Z 2'!O172</f>
        <v>13521</v>
      </c>
      <c r="G118" s="426">
        <v>0</v>
      </c>
    </row>
    <row r="119" spans="1:7" ht="14.25" customHeight="1">
      <c r="A119" s="420"/>
      <c r="B119" s="420"/>
      <c r="C119" s="418" t="s">
        <v>250</v>
      </c>
      <c r="D119" s="108" t="s">
        <v>352</v>
      </c>
      <c r="E119" s="192">
        <v>0</v>
      </c>
      <c r="F119" s="298">
        <f>'Z 2'!O173</f>
        <v>51254</v>
      </c>
      <c r="G119" s="426">
        <v>0</v>
      </c>
    </row>
    <row r="120" spans="1:7" ht="14.25" customHeight="1">
      <c r="A120" s="420"/>
      <c r="B120" s="420"/>
      <c r="C120" s="418" t="s">
        <v>252</v>
      </c>
      <c r="D120" s="108" t="s">
        <v>253</v>
      </c>
      <c r="E120" s="192">
        <v>0</v>
      </c>
      <c r="F120" s="298">
        <f>'Z 2'!O174</f>
        <v>4404</v>
      </c>
      <c r="G120" s="426">
        <v>0</v>
      </c>
    </row>
    <row r="121" spans="1:7" ht="12.75" customHeight="1">
      <c r="A121" s="420"/>
      <c r="B121" s="420"/>
      <c r="C121" s="418" t="s">
        <v>254</v>
      </c>
      <c r="D121" s="108" t="s">
        <v>255</v>
      </c>
      <c r="E121" s="192">
        <v>0</v>
      </c>
      <c r="F121" s="298">
        <f>'Z 2'!O175</f>
        <v>6357</v>
      </c>
      <c r="G121" s="426">
        <v>0</v>
      </c>
    </row>
    <row r="122" spans="1:7" ht="14.25" customHeight="1">
      <c r="A122" s="420"/>
      <c r="B122" s="420"/>
      <c r="C122" s="418" t="s">
        <v>256</v>
      </c>
      <c r="D122" s="108" t="s">
        <v>257</v>
      </c>
      <c r="E122" s="192">
        <v>0</v>
      </c>
      <c r="F122" s="298">
        <f>'Z 2'!O176</f>
        <v>764</v>
      </c>
      <c r="G122" s="426">
        <v>0</v>
      </c>
    </row>
    <row r="123" spans="1:7" ht="15" customHeight="1">
      <c r="A123" s="420"/>
      <c r="B123" s="420"/>
      <c r="C123" s="418" t="s">
        <v>313</v>
      </c>
      <c r="D123" s="108" t="s">
        <v>337</v>
      </c>
      <c r="E123" s="192">
        <v>0</v>
      </c>
      <c r="F123" s="298">
        <f>'Z 2'!O177</f>
        <v>10471</v>
      </c>
      <c r="G123" s="426">
        <v>0</v>
      </c>
    </row>
    <row r="124" spans="1:7" ht="15.75" customHeight="1">
      <c r="A124" s="420"/>
      <c r="B124" s="420"/>
      <c r="C124" s="418" t="s">
        <v>355</v>
      </c>
      <c r="D124" s="108" t="s">
        <v>553</v>
      </c>
      <c r="E124" s="192">
        <v>0</v>
      </c>
      <c r="F124" s="298">
        <f>'Z 2'!O178</f>
        <v>160</v>
      </c>
      <c r="G124" s="426">
        <v>0</v>
      </c>
    </row>
    <row r="125" spans="1:7" ht="21.75" customHeight="1" hidden="1">
      <c r="A125" s="12"/>
      <c r="B125" s="12"/>
      <c r="C125" s="25" t="s">
        <v>274</v>
      </c>
      <c r="D125" s="15" t="s">
        <v>554</v>
      </c>
      <c r="E125" s="15">
        <v>0</v>
      </c>
      <c r="F125" s="15">
        <v>0</v>
      </c>
      <c r="G125" s="43">
        <v>0</v>
      </c>
    </row>
    <row r="126" spans="1:7" ht="18" customHeight="1">
      <c r="A126" s="167" t="s">
        <v>310</v>
      </c>
      <c r="B126" s="167" t="s">
        <v>632</v>
      </c>
      <c r="C126" s="167" t="s">
        <v>411</v>
      </c>
      <c r="D126" s="140" t="s">
        <v>418</v>
      </c>
      <c r="E126" s="140">
        <f>'Z1'!V84</f>
        <v>3000</v>
      </c>
      <c r="F126" s="140">
        <f>F127+F128+F129+F130</f>
        <v>3000</v>
      </c>
      <c r="G126" s="172">
        <v>0</v>
      </c>
    </row>
    <row r="127" spans="1:7" ht="15" customHeight="1">
      <c r="A127" s="423"/>
      <c r="B127" s="423"/>
      <c r="C127" s="370" t="s">
        <v>218</v>
      </c>
      <c r="D127" s="107" t="s">
        <v>135</v>
      </c>
      <c r="E127" s="298">
        <v>0</v>
      </c>
      <c r="F127" s="298">
        <f>'Z 2'!O181</f>
        <v>36</v>
      </c>
      <c r="G127" s="427"/>
    </row>
    <row r="128" spans="1:7" ht="15" customHeight="1">
      <c r="A128" s="423"/>
      <c r="B128" s="423"/>
      <c r="C128" s="370" t="s">
        <v>97</v>
      </c>
      <c r="D128" s="108" t="s">
        <v>109</v>
      </c>
      <c r="E128" s="298">
        <v>0</v>
      </c>
      <c r="F128" s="298">
        <f>'Z 2'!N182</f>
        <v>700</v>
      </c>
      <c r="G128" s="428"/>
    </row>
    <row r="129" spans="1:7" ht="13.5" customHeight="1">
      <c r="A129" s="420"/>
      <c r="B129" s="420"/>
      <c r="C129" s="418" t="s">
        <v>244</v>
      </c>
      <c r="D129" s="108" t="s">
        <v>245</v>
      </c>
      <c r="E129" s="192">
        <v>0</v>
      </c>
      <c r="F129" s="192">
        <f>'Z 2'!N183</f>
        <v>1153</v>
      </c>
      <c r="G129" s="429">
        <v>0</v>
      </c>
    </row>
    <row r="130" spans="1:7" ht="15" customHeight="1">
      <c r="A130" s="420"/>
      <c r="B130" s="420"/>
      <c r="C130" s="418" t="s">
        <v>250</v>
      </c>
      <c r="D130" s="108" t="s">
        <v>352</v>
      </c>
      <c r="E130" s="192">
        <v>0</v>
      </c>
      <c r="F130" s="192">
        <f>'Z 2'!N184</f>
        <v>1111</v>
      </c>
      <c r="G130" s="426">
        <v>0</v>
      </c>
    </row>
    <row r="131" spans="1:7" ht="20.25" customHeight="1">
      <c r="A131" s="167" t="s">
        <v>424</v>
      </c>
      <c r="B131" s="167" t="s">
        <v>430</v>
      </c>
      <c r="C131" s="167" t="s">
        <v>411</v>
      </c>
      <c r="D131" s="235" t="s">
        <v>555</v>
      </c>
      <c r="E131" s="140">
        <f>'Z1'!V133</f>
        <v>578649</v>
      </c>
      <c r="F131" s="140">
        <f>F132</f>
        <v>578649</v>
      </c>
      <c r="G131" s="172">
        <v>0</v>
      </c>
    </row>
    <row r="132" spans="1:7" ht="17.25" customHeight="1">
      <c r="A132" s="230"/>
      <c r="B132" s="230"/>
      <c r="C132" s="418" t="s">
        <v>431</v>
      </c>
      <c r="D132" s="107" t="s">
        <v>556</v>
      </c>
      <c r="E132" s="452">
        <v>0</v>
      </c>
      <c r="F132" s="192">
        <f>'Z 2'!N334</f>
        <v>578649</v>
      </c>
      <c r="G132" s="453">
        <v>0</v>
      </c>
    </row>
    <row r="133" spans="1:7" ht="18" customHeight="1">
      <c r="A133" s="167" t="s">
        <v>357</v>
      </c>
      <c r="B133" s="167" t="s">
        <v>726</v>
      </c>
      <c r="C133" s="455" t="s">
        <v>411</v>
      </c>
      <c r="D133" s="456" t="s">
        <v>725</v>
      </c>
      <c r="E133" s="344">
        <f>'Z1'!V149</f>
        <v>235666</v>
      </c>
      <c r="F133" s="518">
        <f>F134+F135+F136+F137+F138+F139</f>
        <v>235666</v>
      </c>
      <c r="G133" s="454"/>
    </row>
    <row r="134" spans="1:7" ht="18" customHeight="1">
      <c r="A134" s="230"/>
      <c r="B134" s="230"/>
      <c r="C134" s="370" t="s">
        <v>234</v>
      </c>
      <c r="D134" s="107" t="s">
        <v>235</v>
      </c>
      <c r="E134" s="159">
        <v>0</v>
      </c>
      <c r="F134" s="517">
        <f>'Z 2'!O375</f>
        <v>0</v>
      </c>
      <c r="G134" s="453"/>
    </row>
    <row r="135" spans="1:7" ht="18" customHeight="1">
      <c r="A135" s="230"/>
      <c r="B135" s="230"/>
      <c r="C135" s="370" t="s">
        <v>267</v>
      </c>
      <c r="D135" s="107" t="s">
        <v>546</v>
      </c>
      <c r="E135" s="159">
        <v>0</v>
      </c>
      <c r="F135" s="517">
        <f>'Z 2'!O376</f>
        <v>0</v>
      </c>
      <c r="G135" s="453"/>
    </row>
    <row r="136" spans="1:7" ht="18" customHeight="1">
      <c r="A136" s="230"/>
      <c r="B136" s="230"/>
      <c r="C136" s="370" t="s">
        <v>242</v>
      </c>
      <c r="D136" s="107" t="s">
        <v>243</v>
      </c>
      <c r="E136" s="159">
        <v>0</v>
      </c>
      <c r="F136" s="517">
        <f>'Z 2'!O377</f>
        <v>0</v>
      </c>
      <c r="G136" s="453"/>
    </row>
    <row r="137" spans="1:7" ht="16.5" customHeight="1">
      <c r="A137" s="230"/>
      <c r="B137" s="230"/>
      <c r="C137" s="418" t="s">
        <v>244</v>
      </c>
      <c r="D137" s="108" t="s">
        <v>245</v>
      </c>
      <c r="E137" s="452">
        <v>0</v>
      </c>
      <c r="F137" s="192">
        <f>'Z 2'!O378</f>
        <v>178666</v>
      </c>
      <c r="G137" s="453"/>
    </row>
    <row r="138" spans="1:7" ht="15.75" customHeight="1">
      <c r="A138" s="230"/>
      <c r="B138" s="230"/>
      <c r="C138" s="418" t="s">
        <v>248</v>
      </c>
      <c r="D138" s="107" t="s">
        <v>351</v>
      </c>
      <c r="E138" s="452">
        <v>0</v>
      </c>
      <c r="F138" s="192">
        <f>'Z 2'!O379</f>
        <v>55000</v>
      </c>
      <c r="G138" s="453"/>
    </row>
    <row r="139" spans="1:7" ht="15.75" customHeight="1">
      <c r="A139" s="230"/>
      <c r="B139" s="230"/>
      <c r="C139" s="418" t="s">
        <v>250</v>
      </c>
      <c r="D139" s="108" t="s">
        <v>352</v>
      </c>
      <c r="E139" s="452">
        <v>0</v>
      </c>
      <c r="F139" s="192">
        <f>'Z 2'!O380</f>
        <v>2000</v>
      </c>
      <c r="G139" s="453"/>
    </row>
    <row r="140" spans="1:7" ht="15.75" customHeight="1">
      <c r="A140" s="167" t="s">
        <v>357</v>
      </c>
      <c r="B140" s="167" t="s">
        <v>361</v>
      </c>
      <c r="C140" s="455" t="s">
        <v>411</v>
      </c>
      <c r="D140" s="462" t="s">
        <v>443</v>
      </c>
      <c r="E140" s="344">
        <v>3000</v>
      </c>
      <c r="F140" s="457">
        <f>F141</f>
        <v>3000</v>
      </c>
      <c r="G140" s="454"/>
    </row>
    <row r="141" spans="1:7" ht="15.75" customHeight="1">
      <c r="A141" s="230"/>
      <c r="B141" s="230"/>
      <c r="C141" s="418" t="s">
        <v>250</v>
      </c>
      <c r="D141" s="108" t="s">
        <v>352</v>
      </c>
      <c r="E141" s="452"/>
      <c r="F141" s="192">
        <v>3000</v>
      </c>
      <c r="G141" s="453"/>
    </row>
    <row r="142" spans="1:7" ht="18" customHeight="1">
      <c r="A142" s="167" t="s">
        <v>357</v>
      </c>
      <c r="B142" s="167" t="s">
        <v>359</v>
      </c>
      <c r="C142" s="455" t="s">
        <v>721</v>
      </c>
      <c r="D142" s="456" t="s">
        <v>316</v>
      </c>
      <c r="E142" s="344">
        <f>'Z1'!V139</f>
        <v>0</v>
      </c>
      <c r="F142" s="457">
        <f>F143+F144</f>
        <v>80000</v>
      </c>
      <c r="G142" s="454"/>
    </row>
    <row r="143" spans="1:7" ht="16.5" customHeight="1">
      <c r="A143" s="230"/>
      <c r="B143" s="230"/>
      <c r="C143" s="418" t="s">
        <v>244</v>
      </c>
      <c r="D143" s="108" t="s">
        <v>245</v>
      </c>
      <c r="E143" s="452"/>
      <c r="F143" s="458">
        <f>'Z 2'!O345</f>
        <v>25617</v>
      </c>
      <c r="G143" s="453"/>
    </row>
    <row r="144" spans="1:7" ht="16.5" customHeight="1">
      <c r="A144" s="230"/>
      <c r="B144" s="230"/>
      <c r="C144" s="418" t="s">
        <v>248</v>
      </c>
      <c r="D144" s="107" t="s">
        <v>351</v>
      </c>
      <c r="E144" s="452"/>
      <c r="F144" s="458">
        <f>'Z 2'!O349</f>
        <v>54383</v>
      </c>
      <c r="G144" s="453"/>
    </row>
    <row r="145" spans="1:7" ht="18" customHeight="1">
      <c r="A145" s="167" t="s">
        <v>357</v>
      </c>
      <c r="B145" s="167" t="s">
        <v>365</v>
      </c>
      <c r="C145" s="455" t="s">
        <v>721</v>
      </c>
      <c r="D145" s="457" t="s">
        <v>560</v>
      </c>
      <c r="E145" s="344">
        <f>'Z1'!V152</f>
        <v>0</v>
      </c>
      <c r="F145" s="457">
        <f>F146+F147+F148+F149+F150</f>
        <v>30000</v>
      </c>
      <c r="G145" s="454"/>
    </row>
    <row r="146" spans="1:7" ht="15" customHeight="1">
      <c r="A146" s="230"/>
      <c r="B146" s="230"/>
      <c r="C146" s="418" t="s">
        <v>97</v>
      </c>
      <c r="D146" s="108" t="s">
        <v>109</v>
      </c>
      <c r="E146" s="452">
        <v>0</v>
      </c>
      <c r="F146" s="192">
        <f>'Z 2'!O385</f>
        <v>800</v>
      </c>
      <c r="G146" s="453"/>
    </row>
    <row r="147" spans="1:7" ht="14.25" customHeight="1">
      <c r="A147" s="230"/>
      <c r="B147" s="230"/>
      <c r="C147" s="418" t="s">
        <v>267</v>
      </c>
      <c r="D147" s="107" t="s">
        <v>546</v>
      </c>
      <c r="E147" s="452">
        <v>0</v>
      </c>
      <c r="F147" s="192">
        <f>'Z 2'!O386</f>
        <v>144</v>
      </c>
      <c r="G147" s="453"/>
    </row>
    <row r="148" spans="1:7" ht="14.25" customHeight="1">
      <c r="A148" s="230"/>
      <c r="B148" s="230"/>
      <c r="C148" s="418" t="s">
        <v>242</v>
      </c>
      <c r="D148" s="107" t="s">
        <v>243</v>
      </c>
      <c r="E148" s="452">
        <v>0</v>
      </c>
      <c r="F148" s="192">
        <f>'Z 2'!O387</f>
        <v>20</v>
      </c>
      <c r="G148" s="453"/>
    </row>
    <row r="149" spans="1:7" ht="14.25" customHeight="1">
      <c r="A149" s="230"/>
      <c r="B149" s="230"/>
      <c r="C149" s="418" t="s">
        <v>244</v>
      </c>
      <c r="D149" s="108" t="s">
        <v>350</v>
      </c>
      <c r="E149" s="452">
        <v>0</v>
      </c>
      <c r="F149" s="192">
        <f>'Z 2'!O388</f>
        <v>29036</v>
      </c>
      <c r="G149" s="453"/>
    </row>
    <row r="150" spans="1:7" ht="13.5" customHeight="1">
      <c r="A150" s="230"/>
      <c r="B150" s="230"/>
      <c r="C150" s="418" t="s">
        <v>246</v>
      </c>
      <c r="D150" s="108" t="s">
        <v>350</v>
      </c>
      <c r="E150" s="452">
        <v>0</v>
      </c>
      <c r="F150" s="192">
        <f>'Z 2'!O389</f>
        <v>0</v>
      </c>
      <c r="G150" s="453"/>
    </row>
    <row r="151" spans="1:7" ht="18.75" customHeight="1">
      <c r="A151" s="167" t="s">
        <v>357</v>
      </c>
      <c r="B151" s="167" t="s">
        <v>363</v>
      </c>
      <c r="C151" s="455" t="s">
        <v>721</v>
      </c>
      <c r="D151" s="457" t="s">
        <v>309</v>
      </c>
      <c r="E151" s="344">
        <f>'Z1'!V162</f>
        <v>160000</v>
      </c>
      <c r="F151" s="457">
        <f>F152+F153</f>
        <v>50000</v>
      </c>
      <c r="G151" s="454"/>
    </row>
    <row r="152" spans="1:7" ht="13.5" customHeight="1">
      <c r="A152" s="230"/>
      <c r="B152" s="230"/>
      <c r="C152" s="418" t="s">
        <v>244</v>
      </c>
      <c r="D152" s="108" t="s">
        <v>350</v>
      </c>
      <c r="E152" s="452">
        <v>0</v>
      </c>
      <c r="F152" s="192">
        <f>'Z 2'!O421</f>
        <v>30626</v>
      </c>
      <c r="G152" s="453"/>
    </row>
    <row r="153" spans="1:7" ht="13.5" customHeight="1">
      <c r="A153" s="420"/>
      <c r="B153" s="420"/>
      <c r="C153" s="418" t="s">
        <v>248</v>
      </c>
      <c r="D153" s="107" t="s">
        <v>351</v>
      </c>
      <c r="E153" s="192">
        <v>0</v>
      </c>
      <c r="F153" s="192">
        <f>'Z 2'!O423</f>
        <v>19374</v>
      </c>
      <c r="G153" s="426">
        <v>0</v>
      </c>
    </row>
    <row r="154" spans="1:7" ht="23.25" customHeight="1" thickBot="1">
      <c r="A154" s="678" t="s">
        <v>557</v>
      </c>
      <c r="B154" s="678"/>
      <c r="C154" s="678"/>
      <c r="D154" s="678"/>
      <c r="E154" s="585">
        <f>E14+E31+E40+E43+E45+E57+E67+E96+E104+E126+E131+E133+E140+E142+E145+E151</f>
        <v>3672861</v>
      </c>
      <c r="F154" s="585">
        <f>F14+F31+F40+F43+F45+F57+F67+F96+F104+F126+F131+F133+F140+F142+F145+F151</f>
        <v>3672861</v>
      </c>
      <c r="G154" s="585">
        <f>G10</f>
        <v>138608</v>
      </c>
    </row>
    <row r="155" spans="1:7" ht="23.25" customHeight="1">
      <c r="A155" s="583"/>
      <c r="B155" s="583"/>
      <c r="C155" s="583"/>
      <c r="D155" s="583"/>
      <c r="E155" t="s">
        <v>780</v>
      </c>
      <c r="G155" s="584"/>
    </row>
    <row r="156" spans="5:6" ht="28.5" customHeight="1">
      <c r="E156" s="590" t="s">
        <v>795</v>
      </c>
      <c r="F156" s="590"/>
    </row>
  </sheetData>
  <mergeCells count="10">
    <mergeCell ref="E156:F156"/>
    <mergeCell ref="B13:F13"/>
    <mergeCell ref="E1:G1"/>
    <mergeCell ref="A154:D154"/>
    <mergeCell ref="G7:G8"/>
    <mergeCell ref="D7:D8"/>
    <mergeCell ref="F7:F8"/>
    <mergeCell ref="A7:C7"/>
    <mergeCell ref="E7:E8"/>
    <mergeCell ref="A5:G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1" sqref="E1:F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581"/>
      <c r="E1" s="659" t="s">
        <v>812</v>
      </c>
      <c r="F1" s="659"/>
    </row>
    <row r="2" spans="5:6" ht="30" customHeight="1">
      <c r="E2" s="1"/>
      <c r="F2" s="1"/>
    </row>
    <row r="3" spans="1:6" ht="63" customHeight="1" thickBot="1">
      <c r="A3" s="694" t="s">
        <v>94</v>
      </c>
      <c r="B3" s="694"/>
      <c r="C3" s="694"/>
      <c r="D3" s="694"/>
      <c r="E3" s="694"/>
      <c r="F3" s="694"/>
    </row>
    <row r="4" spans="1:6" ht="13.5" thickBot="1">
      <c r="A4" s="695" t="s">
        <v>516</v>
      </c>
      <c r="B4" s="696"/>
      <c r="C4" s="697"/>
      <c r="D4" s="698" t="s">
        <v>517</v>
      </c>
      <c r="E4" s="700" t="s">
        <v>558</v>
      </c>
      <c r="F4" s="702" t="s">
        <v>519</v>
      </c>
    </row>
    <row r="5" spans="1:6" ht="12.75">
      <c r="A5" s="522" t="s">
        <v>521</v>
      </c>
      <c r="B5" s="523" t="s">
        <v>522</v>
      </c>
      <c r="C5" s="522" t="s">
        <v>204</v>
      </c>
      <c r="D5" s="699"/>
      <c r="E5" s="701"/>
      <c r="F5" s="703"/>
    </row>
    <row r="6" spans="1:6" ht="12.75" customHeight="1">
      <c r="A6" s="519">
        <v>1</v>
      </c>
      <c r="B6" s="520">
        <v>2</v>
      </c>
      <c r="C6" s="520">
        <v>3</v>
      </c>
      <c r="D6" s="521">
        <v>4</v>
      </c>
      <c r="E6" s="520">
        <v>5</v>
      </c>
      <c r="F6" s="520">
        <v>6</v>
      </c>
    </row>
    <row r="7" spans="1:6" ht="12.75" customHeight="1">
      <c r="A7" s="170">
        <v>801</v>
      </c>
      <c r="B7" s="170">
        <v>80195</v>
      </c>
      <c r="C7" s="170">
        <v>2130</v>
      </c>
      <c r="D7" s="139" t="s">
        <v>309</v>
      </c>
      <c r="E7" s="138">
        <f>'Z1'!V118</f>
        <v>600</v>
      </c>
      <c r="F7" s="138"/>
    </row>
    <row r="8" spans="1:6" ht="12.75" customHeight="1">
      <c r="A8" s="170">
        <v>801</v>
      </c>
      <c r="B8" s="170">
        <v>80145</v>
      </c>
      <c r="C8" s="170"/>
      <c r="D8" s="139" t="s">
        <v>420</v>
      </c>
      <c r="E8" s="138"/>
      <c r="F8" s="138">
        <f>F9</f>
        <v>600</v>
      </c>
    </row>
    <row r="9" spans="1:6" ht="12.75" customHeight="1">
      <c r="A9" s="47"/>
      <c r="B9" s="47"/>
      <c r="C9" s="524">
        <v>4170</v>
      </c>
      <c r="D9" s="192" t="s">
        <v>109</v>
      </c>
      <c r="E9" s="11"/>
      <c r="F9" s="460">
        <v>600</v>
      </c>
    </row>
    <row r="10" spans="1:6" ht="12.75">
      <c r="A10" s="257">
        <v>852</v>
      </c>
      <c r="B10" s="257">
        <v>85201</v>
      </c>
      <c r="C10" s="257">
        <v>2130</v>
      </c>
      <c r="D10" s="257" t="s">
        <v>319</v>
      </c>
      <c r="E10" s="257">
        <f>'Z1'!V140</f>
        <v>127000</v>
      </c>
      <c r="F10" s="259">
        <f>F11+F12+F13</f>
        <v>127000</v>
      </c>
    </row>
    <row r="11" spans="1:6" ht="12.75">
      <c r="A11" s="46"/>
      <c r="B11" s="40"/>
      <c r="C11" s="82">
        <v>4010</v>
      </c>
      <c r="D11" s="83" t="s">
        <v>235</v>
      </c>
      <c r="E11" s="258"/>
      <c r="F11" s="84">
        <v>3000</v>
      </c>
    </row>
    <row r="12" spans="1:6" ht="12.75">
      <c r="A12" s="46"/>
      <c r="B12" s="40"/>
      <c r="C12" s="82">
        <v>4210</v>
      </c>
      <c r="D12" s="83" t="s">
        <v>245</v>
      </c>
      <c r="E12" s="258"/>
      <c r="F12" s="95">
        <v>24000</v>
      </c>
    </row>
    <row r="13" spans="1:6" ht="12.75">
      <c r="A13" s="46"/>
      <c r="B13" s="40"/>
      <c r="C13" s="82">
        <v>4270</v>
      </c>
      <c r="D13" s="93" t="s">
        <v>351</v>
      </c>
      <c r="E13" s="258"/>
      <c r="F13" s="95">
        <v>100000</v>
      </c>
    </row>
    <row r="14" spans="1:6" ht="12.75">
      <c r="A14" s="138">
        <v>852</v>
      </c>
      <c r="B14" s="138">
        <v>85202</v>
      </c>
      <c r="C14" s="138">
        <v>2130</v>
      </c>
      <c r="D14" s="175" t="s">
        <v>439</v>
      </c>
      <c r="E14" s="176">
        <f>'Z1'!V147</f>
        <v>677933</v>
      </c>
      <c r="F14" s="259">
        <f>F15+F16+F17+F18+F19+F20+F21+F22+F23+F24+F25+F26+F27+F28+F29+F30+F31</f>
        <v>677933</v>
      </c>
    </row>
    <row r="15" spans="1:6" ht="18" customHeight="1">
      <c r="A15" s="81"/>
      <c r="B15" s="45"/>
      <c r="C15" s="87">
        <v>4010</v>
      </c>
      <c r="D15" s="83" t="s">
        <v>235</v>
      </c>
      <c r="E15" s="80">
        <v>0</v>
      </c>
      <c r="F15" s="84">
        <v>306229</v>
      </c>
    </row>
    <row r="16" spans="1:6" ht="12.75">
      <c r="A16" s="85"/>
      <c r="B16" s="86"/>
      <c r="C16" s="87">
        <v>4040</v>
      </c>
      <c r="D16" s="83" t="s">
        <v>543</v>
      </c>
      <c r="E16" s="80">
        <v>0</v>
      </c>
      <c r="F16" s="84">
        <v>30087</v>
      </c>
    </row>
    <row r="17" spans="1:6" ht="12.75">
      <c r="A17" s="85"/>
      <c r="B17" s="86"/>
      <c r="C17" s="129">
        <v>4110</v>
      </c>
      <c r="D17" s="83" t="s">
        <v>307</v>
      </c>
      <c r="E17" s="80">
        <v>0</v>
      </c>
      <c r="F17" s="84">
        <v>58150</v>
      </c>
    </row>
    <row r="18" spans="1:6" ht="12.75">
      <c r="A18" s="85"/>
      <c r="B18" s="86"/>
      <c r="C18" s="129">
        <v>4120</v>
      </c>
      <c r="D18" s="83" t="s">
        <v>243</v>
      </c>
      <c r="E18" s="80">
        <v>0</v>
      </c>
      <c r="F18" s="84">
        <v>8270</v>
      </c>
    </row>
    <row r="19" spans="1:6" ht="12.75" hidden="1">
      <c r="A19" s="85"/>
      <c r="B19" s="86"/>
      <c r="C19" s="87">
        <v>3020</v>
      </c>
      <c r="D19" s="83" t="s">
        <v>95</v>
      </c>
      <c r="E19" s="80">
        <v>0</v>
      </c>
      <c r="F19" s="84">
        <v>0</v>
      </c>
    </row>
    <row r="20" spans="1:6" ht="12.75" hidden="1">
      <c r="A20" s="85"/>
      <c r="B20" s="86"/>
      <c r="C20" s="87">
        <v>3030</v>
      </c>
      <c r="D20" s="83" t="s">
        <v>436</v>
      </c>
      <c r="E20" s="80">
        <v>0</v>
      </c>
      <c r="F20" s="84">
        <v>0</v>
      </c>
    </row>
    <row r="21" spans="1:6" ht="12.75">
      <c r="A21" s="81"/>
      <c r="B21" s="45"/>
      <c r="C21" s="87">
        <v>4210</v>
      </c>
      <c r="D21" s="83" t="s">
        <v>245</v>
      </c>
      <c r="E21" s="80">
        <v>0</v>
      </c>
      <c r="F21" s="84">
        <v>120486</v>
      </c>
    </row>
    <row r="22" spans="1:6" ht="12.75">
      <c r="A22" s="85"/>
      <c r="B22" s="86"/>
      <c r="C22" s="88">
        <v>4220</v>
      </c>
      <c r="D22" s="89" t="s">
        <v>347</v>
      </c>
      <c r="E22" s="90">
        <v>0</v>
      </c>
      <c r="F22" s="91">
        <v>1000</v>
      </c>
    </row>
    <row r="23" spans="1:6" ht="12.75">
      <c r="A23" s="14"/>
      <c r="B23" s="14"/>
      <c r="C23" s="16">
        <v>4230</v>
      </c>
      <c r="D23" s="83" t="s">
        <v>96</v>
      </c>
      <c r="E23" s="80">
        <v>0</v>
      </c>
      <c r="F23" s="84">
        <v>3805</v>
      </c>
    </row>
    <row r="24" spans="1:6" ht="12.75">
      <c r="A24" s="14"/>
      <c r="B24" s="14"/>
      <c r="C24" s="16">
        <v>4260</v>
      </c>
      <c r="D24" s="83" t="s">
        <v>350</v>
      </c>
      <c r="E24" s="80">
        <v>0</v>
      </c>
      <c r="F24" s="84">
        <v>33152</v>
      </c>
    </row>
    <row r="25" spans="1:6" ht="12.75" hidden="1">
      <c r="A25" s="85"/>
      <c r="B25" s="86"/>
      <c r="C25" s="92">
        <v>4270</v>
      </c>
      <c r="D25" s="93" t="s">
        <v>351</v>
      </c>
      <c r="E25" s="94">
        <v>0</v>
      </c>
      <c r="F25" s="95">
        <v>0</v>
      </c>
    </row>
    <row r="26" spans="1:6" ht="12.75">
      <c r="A26" s="85"/>
      <c r="B26" s="86"/>
      <c r="C26" s="92">
        <v>4270</v>
      </c>
      <c r="D26" s="93" t="s">
        <v>351</v>
      </c>
      <c r="E26" s="94">
        <v>0</v>
      </c>
      <c r="F26" s="95">
        <v>0</v>
      </c>
    </row>
    <row r="27" spans="1:6" ht="12.75">
      <c r="A27" s="85"/>
      <c r="B27" s="86"/>
      <c r="C27" s="87">
        <v>4300</v>
      </c>
      <c r="D27" s="83" t="s">
        <v>352</v>
      </c>
      <c r="E27" s="80">
        <v>0</v>
      </c>
      <c r="F27" s="84">
        <v>96440</v>
      </c>
    </row>
    <row r="28" spans="1:6" ht="12.75">
      <c r="A28" s="85"/>
      <c r="B28" s="86"/>
      <c r="C28" s="87">
        <v>4410</v>
      </c>
      <c r="D28" s="83" t="s">
        <v>253</v>
      </c>
      <c r="E28" s="80">
        <v>0</v>
      </c>
      <c r="F28" s="84">
        <v>1000</v>
      </c>
    </row>
    <row r="29" spans="1:6" ht="12.75">
      <c r="A29" s="85"/>
      <c r="B29" s="86"/>
      <c r="C29" s="87">
        <v>4440</v>
      </c>
      <c r="D29" s="83" t="s">
        <v>257</v>
      </c>
      <c r="E29" s="80">
        <v>0</v>
      </c>
      <c r="F29" s="84">
        <v>17575</v>
      </c>
    </row>
    <row r="30" spans="1:6" ht="12.75">
      <c r="A30" s="85"/>
      <c r="B30" s="86"/>
      <c r="C30" s="87">
        <v>4480</v>
      </c>
      <c r="D30" s="83" t="s">
        <v>273</v>
      </c>
      <c r="E30" s="80">
        <v>0</v>
      </c>
      <c r="F30" s="84">
        <v>1313</v>
      </c>
    </row>
    <row r="31" spans="1:6" ht="12.75">
      <c r="A31" s="85"/>
      <c r="B31" s="86"/>
      <c r="C31" s="88">
        <v>4520</v>
      </c>
      <c r="D31" s="89" t="s">
        <v>553</v>
      </c>
      <c r="E31" s="90"/>
      <c r="F31" s="91">
        <v>426</v>
      </c>
    </row>
    <row r="32" spans="1:6" ht="25.5">
      <c r="A32" s="138">
        <v>852</v>
      </c>
      <c r="B32" s="138">
        <v>85218</v>
      </c>
      <c r="C32" s="138">
        <v>2130</v>
      </c>
      <c r="D32" s="175" t="s">
        <v>443</v>
      </c>
      <c r="E32" s="176">
        <f>'Z1'!V157</f>
        <v>3000</v>
      </c>
      <c r="F32" s="177">
        <f>F33</f>
        <v>3000</v>
      </c>
    </row>
    <row r="33" spans="1:6" ht="12.75">
      <c r="A33" s="352"/>
      <c r="B33" s="352"/>
      <c r="C33" s="355">
        <v>4010</v>
      </c>
      <c r="D33" s="89" t="s">
        <v>235</v>
      </c>
      <c r="E33" s="353">
        <v>0</v>
      </c>
      <c r="F33" s="354">
        <v>3000</v>
      </c>
    </row>
    <row r="34" spans="1:6" ht="33.75">
      <c r="A34" s="348">
        <v>852</v>
      </c>
      <c r="B34" s="348">
        <v>85220</v>
      </c>
      <c r="C34" s="364">
        <v>2130</v>
      </c>
      <c r="D34" s="179" t="s">
        <v>502</v>
      </c>
      <c r="E34" s="365">
        <f>'Z1'!V160</f>
        <v>75000</v>
      </c>
      <c r="F34" s="366">
        <f>F35+F36+F37</f>
        <v>75000</v>
      </c>
    </row>
    <row r="35" spans="1:6" ht="12.75">
      <c r="A35" s="352"/>
      <c r="B35" s="352"/>
      <c r="C35" s="355">
        <v>4210</v>
      </c>
      <c r="D35" s="83" t="s">
        <v>245</v>
      </c>
      <c r="E35" s="353"/>
      <c r="F35" s="354">
        <v>57900</v>
      </c>
    </row>
    <row r="36" spans="1:6" ht="12.75">
      <c r="A36" s="352"/>
      <c r="B36" s="352"/>
      <c r="C36" s="355">
        <v>4260</v>
      </c>
      <c r="D36" s="83" t="s">
        <v>350</v>
      </c>
      <c r="E36" s="353"/>
      <c r="F36" s="354">
        <v>7300</v>
      </c>
    </row>
    <row r="37" spans="1:6" ht="12.75">
      <c r="A37" s="352"/>
      <c r="B37" s="352"/>
      <c r="C37" s="355">
        <v>4300</v>
      </c>
      <c r="D37" s="83" t="s">
        <v>352</v>
      </c>
      <c r="E37" s="353"/>
      <c r="F37" s="354">
        <v>9800</v>
      </c>
    </row>
    <row r="38" spans="1:6" ht="12.75">
      <c r="A38" s="348">
        <v>854</v>
      </c>
      <c r="B38" s="348">
        <v>85415</v>
      </c>
      <c r="C38" s="348">
        <v>2130</v>
      </c>
      <c r="D38" s="349" t="s">
        <v>104</v>
      </c>
      <c r="E38" s="350">
        <f>'Z1'!V197</f>
        <v>316340</v>
      </c>
      <c r="F38" s="351">
        <f>F39+F40+F41+F42+F43</f>
        <v>316340</v>
      </c>
    </row>
    <row r="39" spans="1:6" ht="12.75">
      <c r="A39" s="352"/>
      <c r="B39" s="352"/>
      <c r="C39" s="260">
        <v>3240</v>
      </c>
      <c r="D39" s="89" t="s">
        <v>711</v>
      </c>
      <c r="E39" s="586"/>
      <c r="F39" s="91">
        <v>311600</v>
      </c>
    </row>
    <row r="40" spans="1:6" ht="12.75">
      <c r="A40" s="352"/>
      <c r="B40" s="352"/>
      <c r="C40" s="260">
        <v>4110</v>
      </c>
      <c r="D40" s="83" t="s">
        <v>307</v>
      </c>
      <c r="E40" s="586"/>
      <c r="F40" s="91">
        <f>'Z 2'!N525</f>
        <v>419</v>
      </c>
    </row>
    <row r="41" spans="1:6" ht="12.75">
      <c r="A41" s="352"/>
      <c r="B41" s="352"/>
      <c r="C41" s="260">
        <v>4120</v>
      </c>
      <c r="D41" s="83" t="s">
        <v>243</v>
      </c>
      <c r="E41" s="586"/>
      <c r="F41" s="91">
        <f>'Z 2'!N528</f>
        <v>59</v>
      </c>
    </row>
    <row r="42" spans="1:6" ht="12.75">
      <c r="A42" s="352"/>
      <c r="B42" s="352"/>
      <c r="C42" s="355">
        <v>4170</v>
      </c>
      <c r="D42" s="192" t="s">
        <v>109</v>
      </c>
      <c r="E42" s="586"/>
      <c r="F42" s="354">
        <f>'Z 2'!N531</f>
        <v>2402</v>
      </c>
    </row>
    <row r="43" spans="1:6" ht="15" customHeight="1" thickBot="1">
      <c r="A43" s="45"/>
      <c r="B43" s="45"/>
      <c r="C43" s="260">
        <v>4210</v>
      </c>
      <c r="D43" s="83" t="s">
        <v>245</v>
      </c>
      <c r="E43" s="90">
        <v>0</v>
      </c>
      <c r="F43" s="91">
        <f>'Z 2'!N534</f>
        <v>1860</v>
      </c>
    </row>
    <row r="44" spans="1:6" ht="18.75" customHeight="1" thickBot="1">
      <c r="A44" s="691" t="s">
        <v>112</v>
      </c>
      <c r="B44" s="692"/>
      <c r="C44" s="692"/>
      <c r="D44" s="693"/>
      <c r="E44" s="261">
        <f>E7+E10+E14+E32+E34+E38</f>
        <v>1199873</v>
      </c>
      <c r="F44" s="261">
        <f>F8+F10+F14+F32+F34+F38</f>
        <v>1199873</v>
      </c>
    </row>
    <row r="45" ht="1.5" customHeight="1">
      <c r="C45" s="96"/>
    </row>
    <row r="46" spans="3:5" ht="20.25" customHeight="1">
      <c r="C46" s="96"/>
      <c r="E46" s="582" t="s">
        <v>780</v>
      </c>
    </row>
    <row r="47" spans="1:6" ht="18" customHeight="1">
      <c r="A47" s="590" t="s">
        <v>796</v>
      </c>
      <c r="B47" s="590"/>
      <c r="C47" s="590"/>
      <c r="D47" s="590"/>
      <c r="E47" s="590"/>
      <c r="F47" s="590"/>
    </row>
    <row r="48" ht="12.75">
      <c r="C48" s="96"/>
    </row>
    <row r="49" ht="12.75">
      <c r="C49" s="96"/>
    </row>
    <row r="50" ht="12.75">
      <c r="C50" s="96"/>
    </row>
    <row r="51" ht="12.75">
      <c r="C51" s="96"/>
    </row>
  </sheetData>
  <mergeCells count="8">
    <mergeCell ref="E1:F1"/>
    <mergeCell ref="A47:F47"/>
    <mergeCell ref="A44:D44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711" t="s">
        <v>813</v>
      </c>
      <c r="D1" s="711"/>
      <c r="E1" s="711"/>
      <c r="F1" s="711"/>
    </row>
    <row r="2" spans="1:6" ht="29.25" customHeight="1">
      <c r="A2" s="712" t="s">
        <v>30</v>
      </c>
      <c r="B2" s="712"/>
      <c r="C2" s="712"/>
      <c r="D2" s="712"/>
      <c r="E2" s="712"/>
      <c r="F2" s="712"/>
    </row>
    <row r="3" spans="1:6" ht="12" customHeight="1">
      <c r="A3" s="713" t="s">
        <v>516</v>
      </c>
      <c r="B3" s="713"/>
      <c r="C3" s="713"/>
      <c r="D3" s="710" t="s">
        <v>517</v>
      </c>
      <c r="E3" s="710" t="s">
        <v>558</v>
      </c>
      <c r="F3" s="710" t="s">
        <v>519</v>
      </c>
    </row>
    <row r="4" spans="1:6" ht="12" customHeight="1">
      <c r="A4" s="11" t="s">
        <v>521</v>
      </c>
      <c r="B4" s="11" t="s">
        <v>522</v>
      </c>
      <c r="C4" s="11" t="s">
        <v>204</v>
      </c>
      <c r="D4" s="710"/>
      <c r="E4" s="710"/>
      <c r="F4" s="710"/>
    </row>
    <row r="5" spans="1:6" ht="11.2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</row>
    <row r="6" spans="1:6" ht="17.25" customHeight="1">
      <c r="A6" s="183"/>
      <c r="B6" s="183"/>
      <c r="C6" s="183"/>
      <c r="D6" s="184" t="s">
        <v>46</v>
      </c>
      <c r="E6" s="184">
        <f>E7+E10+E13+E17</f>
        <v>1094601</v>
      </c>
      <c r="F6" s="184">
        <f>F13+F17</f>
        <v>0</v>
      </c>
    </row>
    <row r="7" spans="1:6" ht="24.75" customHeight="1">
      <c r="A7" s="170">
        <v>754</v>
      </c>
      <c r="B7" s="138">
        <v>75411</v>
      </c>
      <c r="C7" s="252"/>
      <c r="D7" s="171" t="s">
        <v>317</v>
      </c>
      <c r="E7" s="170">
        <f>E9</f>
        <v>20000</v>
      </c>
      <c r="F7" s="170"/>
    </row>
    <row r="8" spans="1:6" ht="12" customHeight="1">
      <c r="A8" s="251"/>
      <c r="B8" s="251"/>
      <c r="C8" s="250"/>
      <c r="D8" s="254" t="s">
        <v>561</v>
      </c>
      <c r="E8" s="251"/>
      <c r="F8" s="251"/>
    </row>
    <row r="9" spans="1:6" ht="14.25" customHeight="1">
      <c r="A9" s="250"/>
      <c r="B9" s="250"/>
      <c r="C9" s="253">
        <v>6630</v>
      </c>
      <c r="D9" s="255" t="s">
        <v>394</v>
      </c>
      <c r="E9" s="253">
        <f>'Z1'!V75</f>
        <v>20000</v>
      </c>
      <c r="F9" s="251"/>
    </row>
    <row r="10" spans="1:6" ht="14.25" customHeight="1">
      <c r="A10" s="170">
        <v>801</v>
      </c>
      <c r="B10" s="138">
        <v>80147</v>
      </c>
      <c r="C10" s="182"/>
      <c r="D10" s="139" t="s">
        <v>178</v>
      </c>
      <c r="E10" s="182">
        <f>E12</f>
        <v>290000</v>
      </c>
      <c r="F10" s="170"/>
    </row>
    <row r="11" spans="1:6" ht="9.75" customHeight="1">
      <c r="A11" s="251"/>
      <c r="B11" s="251"/>
      <c r="C11" s="253"/>
      <c r="D11" s="331" t="s">
        <v>561</v>
      </c>
      <c r="E11" s="253"/>
      <c r="F11" s="251"/>
    </row>
    <row r="12" spans="1:6" ht="14.25" customHeight="1">
      <c r="A12" s="250"/>
      <c r="B12" s="250"/>
      <c r="C12" s="253">
        <v>6300</v>
      </c>
      <c r="D12" s="255" t="s">
        <v>394</v>
      </c>
      <c r="E12" s="253">
        <f>'Z1'!V116</f>
        <v>290000</v>
      </c>
      <c r="F12" s="251"/>
    </row>
    <row r="13" spans="1:6" ht="15" customHeight="1">
      <c r="A13" s="140">
        <v>803</v>
      </c>
      <c r="B13" s="140">
        <v>80309</v>
      </c>
      <c r="C13" s="182"/>
      <c r="D13" s="181" t="s">
        <v>598</v>
      </c>
      <c r="E13" s="170">
        <f>E15+E16</f>
        <v>247743</v>
      </c>
      <c r="F13" s="170">
        <f>F15+F16</f>
        <v>0</v>
      </c>
    </row>
    <row r="14" spans="1:6" ht="11.25" customHeight="1">
      <c r="A14" s="6"/>
      <c r="B14" s="6"/>
      <c r="C14" s="47"/>
      <c r="D14" s="103" t="s">
        <v>561</v>
      </c>
      <c r="E14" s="47"/>
      <c r="F14" s="47"/>
    </row>
    <row r="15" spans="1:6" ht="11.25" customHeight="1">
      <c r="A15" s="15"/>
      <c r="B15" s="15"/>
      <c r="C15" s="47">
        <v>2888</v>
      </c>
      <c r="D15" s="103" t="s">
        <v>394</v>
      </c>
      <c r="E15" s="47">
        <f>'Z1'!V122</f>
        <v>177056</v>
      </c>
      <c r="F15" s="47"/>
    </row>
    <row r="16" spans="1:6" ht="11.25" customHeight="1">
      <c r="A16" s="15"/>
      <c r="B16" s="15"/>
      <c r="C16" s="47">
        <v>2889</v>
      </c>
      <c r="D16" s="103" t="s">
        <v>394</v>
      </c>
      <c r="E16" s="47">
        <f>'Z1'!V123</f>
        <v>70687</v>
      </c>
      <c r="F16" s="47"/>
    </row>
    <row r="17" spans="1:6" ht="11.25" customHeight="1">
      <c r="A17" s="140">
        <v>854</v>
      </c>
      <c r="B17" s="140">
        <v>85415</v>
      </c>
      <c r="C17" s="182"/>
      <c r="D17" s="181" t="s">
        <v>22</v>
      </c>
      <c r="E17" s="170">
        <f>E19+E20</f>
        <v>536858</v>
      </c>
      <c r="F17" s="170">
        <f>F19+F20</f>
        <v>0</v>
      </c>
    </row>
    <row r="18" spans="1:6" ht="11.25" customHeight="1">
      <c r="A18" s="15"/>
      <c r="B18" s="15"/>
      <c r="C18" s="47"/>
      <c r="D18" s="103" t="s">
        <v>561</v>
      </c>
      <c r="E18" s="47"/>
      <c r="F18" s="47"/>
    </row>
    <row r="19" spans="1:6" ht="11.25" customHeight="1">
      <c r="A19" s="15"/>
      <c r="B19" s="15"/>
      <c r="C19" s="47">
        <v>2888</v>
      </c>
      <c r="D19" s="103" t="s">
        <v>394</v>
      </c>
      <c r="E19" s="47">
        <f>'Z1'!V198</f>
        <v>365064</v>
      </c>
      <c r="F19" s="47">
        <v>0</v>
      </c>
    </row>
    <row r="20" spans="1:6" ht="11.25" customHeight="1">
      <c r="A20" s="15"/>
      <c r="B20" s="15"/>
      <c r="C20" s="47">
        <v>2889</v>
      </c>
      <c r="D20" s="103" t="s">
        <v>394</v>
      </c>
      <c r="E20" s="47">
        <f>'Z1'!V199</f>
        <v>171794</v>
      </c>
      <c r="F20" s="47">
        <v>0</v>
      </c>
    </row>
    <row r="21" spans="1:6" ht="16.5" customHeight="1">
      <c r="A21" s="183"/>
      <c r="B21" s="183"/>
      <c r="C21" s="183"/>
      <c r="D21" s="184" t="s">
        <v>47</v>
      </c>
      <c r="E21" s="184">
        <f>E23+E26+E29+E32+E37+E40+E53+E64+E67+E71+E74+E80+E83</f>
        <v>790725</v>
      </c>
      <c r="F21" s="184">
        <f>F23+F26+F29+F32+F37+F40+F53+F64+F67+F71+F74+F80+F83</f>
        <v>375192</v>
      </c>
    </row>
    <row r="22" spans="1:6" ht="15.75" customHeight="1" hidden="1">
      <c r="A22" s="47"/>
      <c r="B22" s="47"/>
      <c r="C22" s="47"/>
      <c r="D22" s="17" t="s">
        <v>189</v>
      </c>
      <c r="E22" s="47">
        <v>0</v>
      </c>
      <c r="F22" s="47">
        <v>0</v>
      </c>
    </row>
    <row r="23" spans="1:6" ht="15.75" customHeight="1">
      <c r="A23" s="169" t="s">
        <v>213</v>
      </c>
      <c r="B23" s="169" t="s">
        <v>687</v>
      </c>
      <c r="C23" s="170">
        <v>2310</v>
      </c>
      <c r="D23" s="139" t="s">
        <v>309</v>
      </c>
      <c r="E23" s="170">
        <f>E25</f>
        <v>0</v>
      </c>
      <c r="F23" s="170">
        <f>F25</f>
        <v>1700</v>
      </c>
    </row>
    <row r="24" spans="1:6" ht="12.75" customHeight="1">
      <c r="A24" s="47"/>
      <c r="B24" s="47"/>
      <c r="C24" s="47"/>
      <c r="D24" s="17" t="s">
        <v>561</v>
      </c>
      <c r="E24" s="47"/>
      <c r="F24" s="47"/>
    </row>
    <row r="25" spans="1:6" ht="15.75" customHeight="1">
      <c r="A25" s="47"/>
      <c r="B25" s="47"/>
      <c r="C25" s="47">
        <v>2310</v>
      </c>
      <c r="D25" s="17" t="s">
        <v>148</v>
      </c>
      <c r="E25" s="47">
        <v>0</v>
      </c>
      <c r="F25" s="47">
        <f>'Z 2'!Q30</f>
        <v>1700</v>
      </c>
    </row>
    <row r="26" spans="1:6" ht="25.5" customHeight="1">
      <c r="A26" s="171">
        <v>754</v>
      </c>
      <c r="B26" s="171">
        <v>75411</v>
      </c>
      <c r="C26" s="171">
        <v>2310</v>
      </c>
      <c r="D26" s="175" t="s">
        <v>12</v>
      </c>
      <c r="E26" s="171">
        <f>E28</f>
        <v>1000</v>
      </c>
      <c r="F26" s="171">
        <f>F28</f>
        <v>0</v>
      </c>
    </row>
    <row r="27" spans="1:6" ht="14.25" customHeight="1">
      <c r="A27" s="47"/>
      <c r="B27" s="47"/>
      <c r="C27" s="47"/>
      <c r="D27" s="17" t="s">
        <v>561</v>
      </c>
      <c r="E27" s="47"/>
      <c r="F27" s="47"/>
    </row>
    <row r="28" spans="1:6" ht="15.75" customHeight="1">
      <c r="A28" s="47"/>
      <c r="B28" s="47"/>
      <c r="C28" s="47"/>
      <c r="D28" s="17" t="s">
        <v>146</v>
      </c>
      <c r="E28" s="47">
        <v>1000</v>
      </c>
      <c r="F28" s="47">
        <v>0</v>
      </c>
    </row>
    <row r="29" spans="1:6" ht="27" customHeight="1">
      <c r="A29" s="369">
        <v>754</v>
      </c>
      <c r="B29" s="369">
        <v>75411</v>
      </c>
      <c r="C29" s="182">
        <v>6610</v>
      </c>
      <c r="D29" s="175" t="s">
        <v>12</v>
      </c>
      <c r="E29" s="369">
        <f>E31</f>
        <v>10000</v>
      </c>
      <c r="F29" s="369">
        <v>0</v>
      </c>
    </row>
    <row r="30" spans="1:6" ht="11.25" customHeight="1">
      <c r="A30" s="47"/>
      <c r="B30" s="47"/>
      <c r="C30" s="47"/>
      <c r="D30" s="17" t="s">
        <v>561</v>
      </c>
      <c r="E30" s="47">
        <v>0</v>
      </c>
      <c r="F30" s="47"/>
    </row>
    <row r="31" spans="1:6" ht="15.75" customHeight="1">
      <c r="A31" s="47"/>
      <c r="B31" s="47"/>
      <c r="C31" s="47"/>
      <c r="D31" s="17" t="s">
        <v>712</v>
      </c>
      <c r="E31" s="47">
        <v>10000</v>
      </c>
      <c r="F31" s="47">
        <v>0</v>
      </c>
    </row>
    <row r="32" spans="1:6" ht="13.5" customHeight="1">
      <c r="A32" s="170">
        <v>600</v>
      </c>
      <c r="B32" s="170">
        <v>60014</v>
      </c>
      <c r="C32" s="170">
        <v>6610</v>
      </c>
      <c r="D32" s="170" t="s">
        <v>187</v>
      </c>
      <c r="E32" s="170">
        <f>E34+E36+E35</f>
        <v>120000</v>
      </c>
      <c r="F32" s="170">
        <f>F34+F36+F35</f>
        <v>0</v>
      </c>
    </row>
    <row r="33" spans="1:6" ht="12" customHeight="1">
      <c r="A33" s="47"/>
      <c r="B33" s="47"/>
      <c r="C33" s="47"/>
      <c r="D33" s="115" t="s">
        <v>561</v>
      </c>
      <c r="E33" s="47"/>
      <c r="F33" s="47"/>
    </row>
    <row r="34" spans="1:6" ht="12.75" customHeight="1">
      <c r="A34" s="17"/>
      <c r="B34" s="17"/>
      <c r="C34" s="47">
        <v>6610</v>
      </c>
      <c r="D34" s="17" t="s">
        <v>147</v>
      </c>
      <c r="E34" s="47">
        <v>0</v>
      </c>
      <c r="F34" s="47">
        <v>0</v>
      </c>
    </row>
    <row r="35" spans="1:6" ht="12.75" customHeight="1">
      <c r="A35" s="17"/>
      <c r="B35" s="17"/>
      <c r="C35" s="47">
        <v>6610</v>
      </c>
      <c r="D35" s="17" t="s">
        <v>149</v>
      </c>
      <c r="E35" s="47">
        <v>100000</v>
      </c>
      <c r="F35" s="47">
        <v>0</v>
      </c>
    </row>
    <row r="36" spans="1:6" ht="13.5" customHeight="1">
      <c r="A36" s="17"/>
      <c r="B36" s="17"/>
      <c r="C36" s="47">
        <v>6610</v>
      </c>
      <c r="D36" s="17" t="s">
        <v>148</v>
      </c>
      <c r="E36" s="47">
        <v>20000</v>
      </c>
      <c r="F36" s="47">
        <v>0</v>
      </c>
    </row>
    <row r="37" spans="1:6" ht="27" customHeight="1">
      <c r="A37" s="138">
        <v>801</v>
      </c>
      <c r="B37" s="138">
        <v>80146</v>
      </c>
      <c r="C37" s="170">
        <v>2320</v>
      </c>
      <c r="D37" s="175" t="s">
        <v>562</v>
      </c>
      <c r="E37" s="170">
        <f>E39</f>
        <v>0</v>
      </c>
      <c r="F37" s="170">
        <f>F39</f>
        <v>12000</v>
      </c>
    </row>
    <row r="38" spans="1:6" ht="10.5" customHeight="1">
      <c r="A38" s="2"/>
      <c r="B38" s="2"/>
      <c r="C38" s="2"/>
      <c r="D38" s="115" t="s">
        <v>561</v>
      </c>
      <c r="E38" s="2"/>
      <c r="F38" s="2"/>
    </row>
    <row r="39" spans="1:6" ht="15" customHeight="1">
      <c r="A39" s="2"/>
      <c r="B39" s="2"/>
      <c r="C39" s="2">
        <v>2320</v>
      </c>
      <c r="D39" s="13" t="s">
        <v>150</v>
      </c>
      <c r="E39" s="2">
        <v>0</v>
      </c>
      <c r="F39" s="2">
        <f>'Z 2'!Q295</f>
        <v>12000</v>
      </c>
    </row>
    <row r="40" spans="1:6" ht="24" customHeight="1">
      <c r="A40" s="170">
        <v>852</v>
      </c>
      <c r="B40" s="138">
        <v>85201</v>
      </c>
      <c r="C40" s="170">
        <v>2320</v>
      </c>
      <c r="D40" s="180" t="s">
        <v>316</v>
      </c>
      <c r="E40" s="170">
        <f>E42+E43+E44+E45+E50+E51+E52</f>
        <v>183552</v>
      </c>
      <c r="F40" s="170">
        <f>F42+F43+F44+F45</f>
        <v>281199</v>
      </c>
    </row>
    <row r="41" spans="1:6" ht="10.5" customHeight="1">
      <c r="A41" s="2"/>
      <c r="B41" s="2"/>
      <c r="C41" s="2"/>
      <c r="D41" s="116" t="s">
        <v>561</v>
      </c>
      <c r="E41" s="2"/>
      <c r="F41" s="2"/>
    </row>
    <row r="42" spans="1:6" ht="15" customHeight="1">
      <c r="A42" s="2"/>
      <c r="B42" s="2"/>
      <c r="C42" s="2">
        <v>2320</v>
      </c>
      <c r="D42" s="26" t="s">
        <v>78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6" t="s">
        <v>79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6" t="s">
        <v>80</v>
      </c>
      <c r="E44" s="2">
        <v>0</v>
      </c>
      <c r="F44" s="2">
        <v>76152</v>
      </c>
    </row>
    <row r="45" spans="1:6" ht="15" customHeight="1">
      <c r="A45" s="2"/>
      <c r="B45" s="2"/>
      <c r="C45" s="2">
        <v>2320</v>
      </c>
      <c r="D45" s="13" t="s">
        <v>81</v>
      </c>
      <c r="E45" s="2">
        <v>94716</v>
      </c>
      <c r="F45" s="2">
        <v>101151</v>
      </c>
    </row>
    <row r="46" spans="1:6" ht="25.5" customHeight="1" hidden="1">
      <c r="A46" s="6">
        <v>854</v>
      </c>
      <c r="B46" s="6">
        <v>85417</v>
      </c>
      <c r="C46" s="11">
        <v>2310</v>
      </c>
      <c r="D46" s="3" t="s">
        <v>563</v>
      </c>
      <c r="E46" s="11">
        <v>0</v>
      </c>
      <c r="F46" s="11">
        <f>F48+F49</f>
        <v>0</v>
      </c>
    </row>
    <row r="47" spans="1:6" ht="7.5" customHeight="1" hidden="1">
      <c r="A47" s="7"/>
      <c r="B47" s="7"/>
      <c r="C47" s="2"/>
      <c r="D47" s="107" t="s">
        <v>561</v>
      </c>
      <c r="E47" s="2"/>
      <c r="F47" s="2"/>
    </row>
    <row r="48" spans="1:6" ht="18" customHeight="1" hidden="1">
      <c r="A48" s="7"/>
      <c r="B48" s="7"/>
      <c r="C48" s="2"/>
      <c r="D48" s="48" t="s">
        <v>564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48" t="s">
        <v>565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48" t="s">
        <v>83</v>
      </c>
      <c r="E50" s="2">
        <v>31571</v>
      </c>
      <c r="F50" s="2"/>
    </row>
    <row r="51" spans="1:6" ht="15" customHeight="1">
      <c r="A51" s="7"/>
      <c r="B51" s="7"/>
      <c r="C51" s="2">
        <v>2320</v>
      </c>
      <c r="D51" s="48" t="s">
        <v>84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48" t="s">
        <v>82</v>
      </c>
      <c r="E52" s="2">
        <v>27062</v>
      </c>
      <c r="F52" s="2">
        <v>0</v>
      </c>
    </row>
    <row r="53" spans="1:7" ht="15" customHeight="1">
      <c r="A53" s="140">
        <v>852</v>
      </c>
      <c r="B53" s="140">
        <v>85204</v>
      </c>
      <c r="C53" s="170"/>
      <c r="D53" s="181" t="s">
        <v>560</v>
      </c>
      <c r="E53" s="170">
        <f>E55+E56+E57+E58+E59</f>
        <v>64585</v>
      </c>
      <c r="F53" s="170">
        <f>F55+F56+F57+F58+F59</f>
        <v>32413</v>
      </c>
      <c r="G53" s="31"/>
    </row>
    <row r="54" spans="1:6" ht="11.25" customHeight="1">
      <c r="A54" s="7"/>
      <c r="B54" s="7"/>
      <c r="C54" s="2"/>
      <c r="D54" s="48" t="s">
        <v>561</v>
      </c>
      <c r="E54" s="2"/>
      <c r="F54" s="2"/>
    </row>
    <row r="55" spans="1:6" ht="15" customHeight="1">
      <c r="A55" s="7"/>
      <c r="B55" s="7"/>
      <c r="C55" s="2">
        <v>2310</v>
      </c>
      <c r="D55" s="48" t="s">
        <v>154</v>
      </c>
      <c r="E55" s="2">
        <v>0</v>
      </c>
      <c r="F55" s="2">
        <v>12174</v>
      </c>
    </row>
    <row r="56" spans="1:6" ht="15" customHeight="1">
      <c r="A56" s="7"/>
      <c r="B56" s="7"/>
      <c r="C56" s="2">
        <v>2320</v>
      </c>
      <c r="D56" s="48" t="s">
        <v>285</v>
      </c>
      <c r="E56" s="2">
        <v>0</v>
      </c>
      <c r="F56" s="2">
        <v>5101</v>
      </c>
    </row>
    <row r="57" spans="1:6" ht="14.25" customHeight="1">
      <c r="A57" s="7"/>
      <c r="B57" s="7"/>
      <c r="C57" s="2">
        <v>2320</v>
      </c>
      <c r="D57" s="48" t="s">
        <v>155</v>
      </c>
      <c r="E57" s="2">
        <v>23342</v>
      </c>
      <c r="F57" s="2">
        <v>7812</v>
      </c>
    </row>
    <row r="58" spans="1:6" ht="14.25" customHeight="1">
      <c r="A58" s="7"/>
      <c r="B58" s="7"/>
      <c r="C58" s="2">
        <v>2320</v>
      </c>
      <c r="D58" s="48" t="s">
        <v>75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48" t="s">
        <v>156</v>
      </c>
      <c r="E59" s="2">
        <v>36959</v>
      </c>
      <c r="F59" s="2">
        <v>7326</v>
      </c>
    </row>
    <row r="60" spans="1:6" ht="12" customHeight="1" hidden="1">
      <c r="A60" s="7"/>
      <c r="B60" s="7"/>
      <c r="C60" s="2"/>
      <c r="D60" s="48" t="s">
        <v>566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1">
        <v>2330</v>
      </c>
      <c r="D61" s="49" t="s">
        <v>162</v>
      </c>
      <c r="E61" s="11">
        <v>0</v>
      </c>
      <c r="F61" s="11">
        <f>F63</f>
        <v>0</v>
      </c>
    </row>
    <row r="62" spans="1:6" ht="10.5" customHeight="1" hidden="1">
      <c r="A62" s="15"/>
      <c r="B62" s="15"/>
      <c r="C62" s="47"/>
      <c r="D62" s="117" t="s">
        <v>561</v>
      </c>
      <c r="E62" s="47"/>
      <c r="F62" s="47"/>
    </row>
    <row r="63" spans="1:6" ht="24.75" customHeight="1" hidden="1">
      <c r="A63" s="15"/>
      <c r="B63" s="15"/>
      <c r="C63" s="47"/>
      <c r="D63" s="103" t="s">
        <v>168</v>
      </c>
      <c r="E63" s="47">
        <v>0</v>
      </c>
      <c r="F63" s="47">
        <v>0</v>
      </c>
    </row>
    <row r="64" spans="1:6" ht="24.75" customHeight="1">
      <c r="A64" s="140">
        <v>750</v>
      </c>
      <c r="B64" s="140">
        <v>75018</v>
      </c>
      <c r="C64" s="170">
        <v>2330</v>
      </c>
      <c r="D64" s="181" t="s">
        <v>162</v>
      </c>
      <c r="E64" s="170">
        <f>E66</f>
        <v>0</v>
      </c>
      <c r="F64" s="170">
        <f>F66</f>
        <v>3380</v>
      </c>
    </row>
    <row r="65" spans="1:6" ht="13.5" customHeight="1">
      <c r="A65" s="15"/>
      <c r="B65" s="15"/>
      <c r="C65" s="47"/>
      <c r="D65" s="103" t="s">
        <v>561</v>
      </c>
      <c r="E65" s="47"/>
      <c r="F65" s="47"/>
    </row>
    <row r="66" spans="1:6" ht="22.5" customHeight="1">
      <c r="A66" s="15"/>
      <c r="B66" s="15"/>
      <c r="C66" s="47"/>
      <c r="D66" s="103" t="s">
        <v>158</v>
      </c>
      <c r="E66" s="47">
        <v>0</v>
      </c>
      <c r="F66" s="47">
        <f>'Z 2'!Q101</f>
        <v>3380</v>
      </c>
    </row>
    <row r="67" spans="1:6" ht="21.75" customHeight="1">
      <c r="A67" s="140">
        <v>750</v>
      </c>
      <c r="B67" s="140">
        <v>75020</v>
      </c>
      <c r="C67" s="170">
        <v>2310</v>
      </c>
      <c r="D67" s="181" t="s">
        <v>304</v>
      </c>
      <c r="E67" s="170">
        <f>E69+E70</f>
        <v>0</v>
      </c>
      <c r="F67" s="170">
        <f>F69+F70</f>
        <v>10000</v>
      </c>
    </row>
    <row r="68" spans="1:6" ht="12" customHeight="1">
      <c r="A68" s="15"/>
      <c r="B68" s="15"/>
      <c r="C68" s="47"/>
      <c r="D68" s="103" t="s">
        <v>561</v>
      </c>
      <c r="E68" s="47"/>
      <c r="F68" s="47"/>
    </row>
    <row r="69" spans="1:6" ht="15.75" customHeight="1">
      <c r="A69" s="15"/>
      <c r="B69" s="15"/>
      <c r="C69" s="47">
        <v>2310</v>
      </c>
      <c r="D69" s="103" t="s">
        <v>151</v>
      </c>
      <c r="E69" s="47">
        <v>0</v>
      </c>
      <c r="F69" s="47">
        <v>5000</v>
      </c>
    </row>
    <row r="70" spans="1:6" ht="15.75" customHeight="1">
      <c r="A70" s="15"/>
      <c r="B70" s="15"/>
      <c r="C70" s="47">
        <v>2310</v>
      </c>
      <c r="D70" s="103" t="s">
        <v>76</v>
      </c>
      <c r="E70" s="47">
        <v>0</v>
      </c>
      <c r="F70" s="47">
        <v>5000</v>
      </c>
    </row>
    <row r="71" spans="1:6" ht="24" customHeight="1">
      <c r="A71" s="140">
        <v>750</v>
      </c>
      <c r="B71" s="140">
        <v>75075</v>
      </c>
      <c r="C71" s="170">
        <v>2310</v>
      </c>
      <c r="D71" s="168" t="s">
        <v>483</v>
      </c>
      <c r="E71" s="170">
        <f>E73</f>
        <v>0</v>
      </c>
      <c r="F71" s="170">
        <f>F73</f>
        <v>0</v>
      </c>
    </row>
    <row r="72" spans="1:6" ht="10.5" customHeight="1">
      <c r="A72" s="15"/>
      <c r="B72" s="15"/>
      <c r="C72" s="47"/>
      <c r="D72" s="103" t="s">
        <v>561</v>
      </c>
      <c r="E72" s="47"/>
      <c r="F72" s="47"/>
    </row>
    <row r="73" spans="1:6" ht="15.75" customHeight="1">
      <c r="A73" s="15"/>
      <c r="B73" s="15"/>
      <c r="C73" s="47">
        <v>2310</v>
      </c>
      <c r="D73" s="103"/>
      <c r="E73" s="47">
        <v>0</v>
      </c>
      <c r="F73" s="47">
        <v>0</v>
      </c>
    </row>
    <row r="74" spans="1:6" ht="15.75" customHeight="1">
      <c r="A74" s="140">
        <v>851</v>
      </c>
      <c r="B74" s="140">
        <v>85111</v>
      </c>
      <c r="C74" s="170">
        <v>6619</v>
      </c>
      <c r="D74" s="181" t="s">
        <v>427</v>
      </c>
      <c r="E74" s="170">
        <f>E76+E77+E78+E79</f>
        <v>411588</v>
      </c>
      <c r="F74" s="170">
        <f>F76+F77+F79</f>
        <v>0</v>
      </c>
    </row>
    <row r="75" spans="1:6" ht="12" customHeight="1">
      <c r="A75" s="15"/>
      <c r="B75" s="15"/>
      <c r="C75" s="47"/>
      <c r="D75" s="103" t="s">
        <v>561</v>
      </c>
      <c r="E75" s="47"/>
      <c r="F75" s="47"/>
    </row>
    <row r="76" spans="1:6" ht="15.75" customHeight="1">
      <c r="A76" s="15"/>
      <c r="B76" s="15"/>
      <c r="C76" s="47">
        <v>6619</v>
      </c>
      <c r="D76" s="103" t="s">
        <v>157</v>
      </c>
      <c r="E76" s="47">
        <v>318892</v>
      </c>
      <c r="F76" s="47">
        <v>0</v>
      </c>
    </row>
    <row r="77" spans="1:6" ht="15.75" customHeight="1">
      <c r="A77" s="15"/>
      <c r="B77" s="15"/>
      <c r="C77" s="47">
        <v>6619</v>
      </c>
      <c r="D77" s="103" t="s">
        <v>151</v>
      </c>
      <c r="E77" s="47">
        <v>44690</v>
      </c>
      <c r="F77" s="47">
        <v>0</v>
      </c>
    </row>
    <row r="78" spans="1:6" ht="15.75" customHeight="1">
      <c r="A78" s="15"/>
      <c r="B78" s="15"/>
      <c r="C78" s="47">
        <v>6619</v>
      </c>
      <c r="D78" s="103" t="s">
        <v>77</v>
      </c>
      <c r="E78" s="47">
        <v>18003</v>
      </c>
      <c r="F78" s="47"/>
    </row>
    <row r="79" spans="1:6" ht="15.75" customHeight="1">
      <c r="A79" s="15"/>
      <c r="B79" s="15"/>
      <c r="C79" s="47">
        <v>6619</v>
      </c>
      <c r="D79" s="103" t="s">
        <v>152</v>
      </c>
      <c r="E79" s="47">
        <v>30003</v>
      </c>
      <c r="F79" s="47">
        <v>0</v>
      </c>
    </row>
    <row r="80" spans="1:6" ht="15.75" customHeight="1">
      <c r="A80" s="140">
        <v>854</v>
      </c>
      <c r="B80" s="140">
        <v>85417</v>
      </c>
      <c r="C80" s="170">
        <v>2310</v>
      </c>
      <c r="D80" s="181" t="s">
        <v>159</v>
      </c>
      <c r="E80" s="170">
        <f>E82</f>
        <v>0</v>
      </c>
      <c r="F80" s="170">
        <f>F82</f>
        <v>1500</v>
      </c>
    </row>
    <row r="81" spans="1:6" ht="13.5" customHeight="1">
      <c r="A81" s="15"/>
      <c r="B81" s="15"/>
      <c r="C81" s="47"/>
      <c r="D81" s="103" t="s">
        <v>561</v>
      </c>
      <c r="E81" s="47"/>
      <c r="F81" s="47"/>
    </row>
    <row r="82" spans="1:6" ht="15.75" customHeight="1">
      <c r="A82" s="15"/>
      <c r="B82" s="15"/>
      <c r="C82" s="47">
        <v>2310</v>
      </c>
      <c r="D82" s="103" t="s">
        <v>152</v>
      </c>
      <c r="E82" s="47">
        <v>0</v>
      </c>
      <c r="F82" s="47">
        <f>'Z 2'!Q540</f>
        <v>1500</v>
      </c>
    </row>
    <row r="83" spans="1:6" ht="27.75" customHeight="1">
      <c r="A83" s="140">
        <v>921</v>
      </c>
      <c r="B83" s="140">
        <v>92116</v>
      </c>
      <c r="C83" s="170">
        <v>2310</v>
      </c>
      <c r="D83" s="181" t="s">
        <v>567</v>
      </c>
      <c r="E83" s="170">
        <v>0</v>
      </c>
      <c r="F83" s="170">
        <f>F85</f>
        <v>33000</v>
      </c>
    </row>
    <row r="84" spans="1:6" ht="11.25" customHeight="1">
      <c r="A84" s="7"/>
      <c r="B84" s="7"/>
      <c r="C84" s="2"/>
      <c r="D84" s="118" t="s">
        <v>561</v>
      </c>
      <c r="E84" s="2"/>
      <c r="F84" s="2"/>
    </row>
    <row r="85" spans="1:6" ht="15" customHeight="1" thickBot="1">
      <c r="A85" s="7"/>
      <c r="B85" s="7"/>
      <c r="C85" s="2">
        <v>2310</v>
      </c>
      <c r="D85" s="48" t="s">
        <v>153</v>
      </c>
      <c r="E85" s="2">
        <v>0</v>
      </c>
      <c r="F85" s="2">
        <f>'Z 2'!Q548</f>
        <v>33000</v>
      </c>
    </row>
    <row r="86" spans="1:6" ht="15" customHeight="1" hidden="1">
      <c r="A86" s="6">
        <v>921</v>
      </c>
      <c r="B86" s="6">
        <v>92195</v>
      </c>
      <c r="C86" s="11">
        <v>2310</v>
      </c>
      <c r="D86" s="49" t="s">
        <v>309</v>
      </c>
      <c r="E86" s="11">
        <f>E88</f>
        <v>0</v>
      </c>
      <c r="F86" s="11">
        <f>F88</f>
        <v>0</v>
      </c>
    </row>
    <row r="87" spans="1:6" ht="10.5" customHeight="1" hidden="1">
      <c r="A87" s="7"/>
      <c r="B87" s="7"/>
      <c r="C87" s="2"/>
      <c r="D87" s="117" t="s">
        <v>561</v>
      </c>
      <c r="E87" s="2"/>
      <c r="F87" s="2"/>
    </row>
    <row r="88" spans="1:6" ht="15" customHeight="1" hidden="1">
      <c r="A88" s="60"/>
      <c r="B88" s="60"/>
      <c r="C88" s="38"/>
      <c r="D88" s="333" t="s">
        <v>188</v>
      </c>
      <c r="E88" s="38">
        <v>0</v>
      </c>
      <c r="F88" s="38">
        <v>0</v>
      </c>
    </row>
    <row r="89" spans="1:7" ht="14.25" customHeight="1" thickBot="1">
      <c r="A89" s="334"/>
      <c r="B89" s="335"/>
      <c r="C89" s="336"/>
      <c r="D89" s="337" t="s">
        <v>48</v>
      </c>
      <c r="E89" s="336">
        <f>E6+E21</f>
        <v>1885326</v>
      </c>
      <c r="F89" s="338">
        <f>F6+F21</f>
        <v>375192</v>
      </c>
      <c r="G89" s="79"/>
    </row>
    <row r="90" ht="13.5" customHeight="1">
      <c r="E90" t="s">
        <v>797</v>
      </c>
    </row>
    <row r="91" spans="1:6" ht="15" customHeight="1">
      <c r="A91" s="709"/>
      <c r="B91" s="709"/>
      <c r="C91" s="709"/>
      <c r="D91" s="709"/>
      <c r="E91" s="709"/>
      <c r="F91" s="709"/>
    </row>
    <row r="92" spans="1:6" ht="15" customHeight="1">
      <c r="A92" s="332"/>
      <c r="B92" s="332"/>
      <c r="C92" s="332"/>
      <c r="D92" s="332"/>
      <c r="E92" s="646" t="s">
        <v>795</v>
      </c>
      <c r="F92" s="646"/>
    </row>
    <row r="93" spans="1:6" ht="13.5" customHeight="1">
      <c r="A93" s="73"/>
      <c r="B93" s="73"/>
      <c r="C93" s="73"/>
      <c r="D93" s="73"/>
      <c r="F93" s="73"/>
    </row>
    <row r="94" spans="1:6" ht="14.25" customHeight="1">
      <c r="A94" s="73"/>
      <c r="B94" s="73"/>
      <c r="C94" s="73"/>
      <c r="D94" s="73"/>
      <c r="E94" s="73"/>
      <c r="F94" s="73"/>
    </row>
    <row r="95" spans="1:6" ht="11.25" customHeight="1">
      <c r="A95" s="73"/>
      <c r="B95" s="73"/>
      <c r="C95" s="73"/>
      <c r="D95" s="73"/>
      <c r="E95" s="73"/>
      <c r="F95" s="73"/>
    </row>
    <row r="96" spans="1:6" ht="12.75" customHeight="1">
      <c r="A96" s="73"/>
      <c r="B96" s="73"/>
      <c r="C96" s="73"/>
      <c r="D96" s="73"/>
      <c r="E96" s="73"/>
      <c r="F96" s="73"/>
    </row>
    <row r="97" spans="1:6" ht="13.5" customHeight="1">
      <c r="A97" s="73"/>
      <c r="B97" s="73"/>
      <c r="C97" s="73"/>
      <c r="D97" s="73"/>
      <c r="E97" s="73"/>
      <c r="F97" s="73"/>
    </row>
    <row r="98" spans="1:6" ht="12.75" customHeight="1">
      <c r="A98" s="73"/>
      <c r="B98" s="73"/>
      <c r="C98" s="73"/>
      <c r="D98" s="73"/>
      <c r="E98" s="73"/>
      <c r="F98" s="73"/>
    </row>
    <row r="99" spans="1:6" ht="18" customHeight="1">
      <c r="A99" s="705"/>
      <c r="B99" s="706"/>
      <c r="C99" s="706"/>
      <c r="D99" s="706"/>
      <c r="E99" s="706"/>
      <c r="F99" s="706"/>
    </row>
    <row r="100" spans="1:6" ht="14.25" customHeight="1">
      <c r="A100" s="73"/>
      <c r="B100" s="73"/>
      <c r="C100" s="73"/>
      <c r="D100" s="73"/>
      <c r="E100" s="73"/>
      <c r="F100" s="73"/>
    </row>
    <row r="101" spans="1:6" ht="14.25" customHeight="1">
      <c r="A101" s="73"/>
      <c r="B101" s="73"/>
      <c r="C101" s="73"/>
      <c r="D101" s="73"/>
      <c r="E101" s="73"/>
      <c r="F101" s="73"/>
    </row>
    <row r="102" spans="1:6" ht="15" customHeight="1">
      <c r="A102" s="31"/>
      <c r="B102" s="73"/>
      <c r="C102" s="73"/>
      <c r="D102" s="73"/>
      <c r="E102" s="73"/>
      <c r="F102" s="73"/>
    </row>
    <row r="103" spans="1:6" ht="13.5" customHeight="1">
      <c r="A103" s="73"/>
      <c r="B103" s="73"/>
      <c r="C103" s="73"/>
      <c r="D103" s="73"/>
      <c r="E103" s="73"/>
      <c r="F103" s="73"/>
    </row>
    <row r="104" spans="1:6" ht="15.75" customHeight="1">
      <c r="A104" s="73"/>
      <c r="B104" s="73"/>
      <c r="C104" s="73"/>
      <c r="D104" s="73"/>
      <c r="E104" s="73"/>
      <c r="F104" s="73"/>
    </row>
    <row r="105" spans="1:6" ht="15.75" customHeight="1">
      <c r="A105" s="73"/>
      <c r="B105" s="73"/>
      <c r="C105" s="73"/>
      <c r="D105" s="73"/>
      <c r="E105" s="73"/>
      <c r="F105" s="73"/>
    </row>
    <row r="106" spans="1:6" ht="15" customHeight="1">
      <c r="A106" s="73"/>
      <c r="B106" s="73"/>
      <c r="C106" s="73"/>
      <c r="D106" s="73"/>
      <c r="E106" s="73"/>
      <c r="F106" s="73"/>
    </row>
    <row r="107" spans="1:6" ht="24.75" customHeight="1">
      <c r="A107" s="707"/>
      <c r="B107" s="707"/>
      <c r="C107" s="707"/>
      <c r="D107" s="707"/>
      <c r="E107" s="707"/>
      <c r="F107" s="707"/>
    </row>
    <row r="108" spans="1:6" ht="54.75" customHeight="1">
      <c r="A108" s="707"/>
      <c r="B108" s="707"/>
      <c r="C108" s="707"/>
      <c r="D108" s="707"/>
      <c r="E108" s="707"/>
      <c r="F108" s="707"/>
    </row>
    <row r="109" spans="1:6" ht="18" customHeight="1" hidden="1">
      <c r="A109" s="73"/>
      <c r="B109" s="73"/>
      <c r="C109" s="73"/>
      <c r="D109" s="73"/>
      <c r="E109" s="73"/>
      <c r="F109" s="73"/>
    </row>
    <row r="110" spans="1:6" ht="15.75" customHeight="1" hidden="1">
      <c r="A110" s="73"/>
      <c r="B110" s="73"/>
      <c r="C110" s="73"/>
      <c r="D110" s="73"/>
      <c r="E110" s="73"/>
      <c r="F110" s="73"/>
    </row>
    <row r="111" spans="1:6" ht="12.75">
      <c r="A111" s="73"/>
      <c r="B111" s="73"/>
      <c r="C111" s="73"/>
      <c r="D111" s="73"/>
      <c r="E111" s="73"/>
      <c r="F111" s="73"/>
    </row>
    <row r="112" spans="1:6" ht="47.25" customHeight="1">
      <c r="A112" s="708"/>
      <c r="B112" s="708"/>
      <c r="C112" s="708"/>
      <c r="D112" s="708"/>
      <c r="E112" s="708"/>
      <c r="F112" s="708"/>
    </row>
    <row r="113" spans="1:6" ht="26.25" customHeight="1">
      <c r="A113" s="707"/>
      <c r="B113" s="707"/>
      <c r="C113" s="707"/>
      <c r="D113" s="707"/>
      <c r="E113" s="707"/>
      <c r="F113" s="707"/>
    </row>
    <row r="114" spans="1:6" ht="16.5" customHeight="1">
      <c r="A114" s="31"/>
      <c r="B114" s="73"/>
      <c r="C114" s="73"/>
      <c r="D114" s="73"/>
      <c r="E114" s="73"/>
      <c r="F114" s="73"/>
    </row>
    <row r="115" spans="1:6" ht="15" customHeight="1">
      <c r="A115" s="707"/>
      <c r="B115" s="707"/>
      <c r="C115" s="707"/>
      <c r="D115" s="707"/>
      <c r="E115" s="707"/>
      <c r="F115" s="707"/>
    </row>
    <row r="116" spans="1:6" ht="37.5" customHeight="1">
      <c r="A116" s="707"/>
      <c r="B116" s="707"/>
      <c r="C116" s="707"/>
      <c r="D116" s="707"/>
      <c r="E116" s="707"/>
      <c r="F116" s="707"/>
    </row>
    <row r="117" spans="1:6" ht="27.75" customHeight="1">
      <c r="A117" s="707"/>
      <c r="B117" s="707"/>
      <c r="C117" s="707"/>
      <c r="D117" s="707"/>
      <c r="E117" s="707"/>
      <c r="F117" s="707"/>
    </row>
    <row r="118" spans="1:6" ht="27.75" customHeight="1">
      <c r="A118" s="707"/>
      <c r="B118" s="707"/>
      <c r="C118" s="707"/>
      <c r="D118" s="707"/>
      <c r="E118" s="707"/>
      <c r="F118" s="707"/>
    </row>
    <row r="119" spans="1:6" ht="12.75">
      <c r="A119" s="705"/>
      <c r="B119" s="706"/>
      <c r="C119" s="706"/>
      <c r="D119" s="706"/>
      <c r="E119" s="706"/>
      <c r="F119" s="706"/>
    </row>
    <row r="120" spans="1:6" ht="12.75">
      <c r="A120" s="73"/>
      <c r="B120" s="73"/>
      <c r="C120" s="73"/>
      <c r="D120" s="73"/>
      <c r="E120" s="73"/>
      <c r="F120" s="73"/>
    </row>
    <row r="121" spans="1:6" ht="12.75">
      <c r="A121" s="73"/>
      <c r="B121" s="73"/>
      <c r="C121" s="73"/>
      <c r="D121" s="73"/>
      <c r="E121" s="73"/>
      <c r="F121" s="73"/>
    </row>
    <row r="122" spans="1:6" ht="12.75">
      <c r="A122" s="73"/>
      <c r="B122" s="73"/>
      <c r="C122" s="73"/>
      <c r="D122" s="73"/>
      <c r="E122" s="73"/>
      <c r="F122" s="73"/>
    </row>
    <row r="123" spans="1:6" ht="12.75">
      <c r="A123" s="73"/>
      <c r="B123" s="73"/>
      <c r="C123" s="73"/>
      <c r="D123" s="73"/>
      <c r="E123" s="73"/>
      <c r="F123" s="73"/>
    </row>
    <row r="124" spans="1:6" ht="29.25" customHeight="1">
      <c r="A124" s="73"/>
      <c r="B124" s="73"/>
      <c r="C124" s="73"/>
      <c r="D124" s="704"/>
      <c r="E124" s="704"/>
      <c r="F124" s="704"/>
    </row>
  </sheetData>
  <mergeCells count="19">
    <mergeCell ref="D3:D4"/>
    <mergeCell ref="E3:E4"/>
    <mergeCell ref="F3:F4"/>
    <mergeCell ref="C1:F1"/>
    <mergeCell ref="A2:F2"/>
    <mergeCell ref="A3:C3"/>
    <mergeCell ref="A91:F91"/>
    <mergeCell ref="A99:F99"/>
    <mergeCell ref="A108:F108"/>
    <mergeCell ref="A107:F107"/>
    <mergeCell ref="E92:F92"/>
    <mergeCell ref="D124:F124"/>
    <mergeCell ref="A119:F119"/>
    <mergeCell ref="A115:F115"/>
    <mergeCell ref="A112:F112"/>
    <mergeCell ref="A113:F113"/>
    <mergeCell ref="A117:F117"/>
    <mergeCell ref="A118:F118"/>
    <mergeCell ref="A116:F116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2" width="9.875" style="0" customWidth="1"/>
    <col min="13" max="13" width="9.25390625" style="0" customWidth="1"/>
    <col min="14" max="14" width="16.75390625" style="0" customWidth="1"/>
  </cols>
  <sheetData>
    <row r="1" spans="4:14" ht="17.25" customHeight="1">
      <c r="D1" s="71"/>
      <c r="E1" s="71"/>
      <c r="I1" s="714" t="s">
        <v>814</v>
      </c>
      <c r="J1" s="714"/>
      <c r="K1" s="714"/>
      <c r="L1" s="714"/>
      <c r="M1" s="714"/>
      <c r="N1" s="714"/>
    </row>
    <row r="2" spans="1:14" ht="24" customHeight="1">
      <c r="A2" s="720" t="s">
        <v>31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</row>
    <row r="3" spans="1:14" ht="10.5" customHeight="1">
      <c r="A3" s="721" t="s">
        <v>521</v>
      </c>
      <c r="B3" s="721" t="s">
        <v>522</v>
      </c>
      <c r="C3" s="728" t="s">
        <v>663</v>
      </c>
      <c r="D3" s="728" t="s">
        <v>28</v>
      </c>
      <c r="E3" s="724" t="s">
        <v>641</v>
      </c>
      <c r="F3" s="723" t="s">
        <v>664</v>
      </c>
      <c r="G3" s="723"/>
      <c r="H3" s="723"/>
      <c r="I3" s="723"/>
      <c r="J3" s="723"/>
      <c r="K3" s="723"/>
      <c r="L3" s="723"/>
      <c r="M3" s="723"/>
      <c r="N3" s="719" t="s">
        <v>665</v>
      </c>
    </row>
    <row r="4" spans="1:14" ht="9.75" customHeight="1">
      <c r="A4" s="721"/>
      <c r="B4" s="721"/>
      <c r="C4" s="728"/>
      <c r="D4" s="728"/>
      <c r="E4" s="725"/>
      <c r="F4" s="729" t="s">
        <v>32</v>
      </c>
      <c r="G4" s="722" t="s">
        <v>666</v>
      </c>
      <c r="H4" s="722"/>
      <c r="I4" s="722"/>
      <c r="J4" s="722"/>
      <c r="K4" s="579"/>
      <c r="L4" s="718" t="s">
        <v>194</v>
      </c>
      <c r="M4" s="718" t="s">
        <v>34</v>
      </c>
      <c r="N4" s="719"/>
    </row>
    <row r="5" spans="1:14" ht="30" customHeight="1">
      <c r="A5" s="721"/>
      <c r="B5" s="721"/>
      <c r="C5" s="728"/>
      <c r="D5" s="728"/>
      <c r="E5" s="726"/>
      <c r="F5" s="730"/>
      <c r="G5" s="580" t="s">
        <v>667</v>
      </c>
      <c r="H5" s="580" t="s">
        <v>668</v>
      </c>
      <c r="I5" s="580" t="s">
        <v>419</v>
      </c>
      <c r="J5" s="580" t="s">
        <v>33</v>
      </c>
      <c r="K5" s="580" t="s">
        <v>36</v>
      </c>
      <c r="L5" s="718"/>
      <c r="M5" s="718"/>
      <c r="N5" s="719"/>
    </row>
    <row r="6" spans="1:14" ht="8.25" customHeight="1">
      <c r="A6" s="265">
        <v>1</v>
      </c>
      <c r="B6" s="265">
        <v>2</v>
      </c>
      <c r="C6" s="265">
        <v>4</v>
      </c>
      <c r="D6" s="265">
        <v>5</v>
      </c>
      <c r="E6" s="265">
        <v>6</v>
      </c>
      <c r="F6" s="265">
        <v>7</v>
      </c>
      <c r="G6" s="265">
        <v>8</v>
      </c>
      <c r="H6" s="265">
        <v>8</v>
      </c>
      <c r="I6" s="265">
        <v>9</v>
      </c>
      <c r="J6" s="265">
        <v>10</v>
      </c>
      <c r="K6" s="265">
        <v>11</v>
      </c>
      <c r="L6" s="265">
        <v>12</v>
      </c>
      <c r="M6" s="266">
        <v>13</v>
      </c>
      <c r="N6" s="265">
        <v>14</v>
      </c>
    </row>
    <row r="7" spans="1:14" ht="0.75" customHeight="1" hidden="1">
      <c r="A7" s="110">
        <v>600</v>
      </c>
      <c r="B7" s="110">
        <v>60014</v>
      </c>
      <c r="C7" s="109" t="s">
        <v>669</v>
      </c>
      <c r="D7" s="72">
        <f>F7+L7+M7</f>
        <v>0</v>
      </c>
      <c r="E7" s="72"/>
      <c r="F7" s="72">
        <f>G7+H7+J7+I7</f>
        <v>0</v>
      </c>
      <c r="G7" s="72"/>
      <c r="H7" s="72"/>
      <c r="I7" s="72"/>
      <c r="J7" s="72"/>
      <c r="K7" s="72"/>
      <c r="L7" s="72"/>
      <c r="M7" s="72"/>
      <c r="N7" s="111" t="s">
        <v>661</v>
      </c>
    </row>
    <row r="8" spans="1:14" ht="25.5" customHeight="1">
      <c r="A8" s="185">
        <v>600</v>
      </c>
      <c r="B8" s="587">
        <v>60014</v>
      </c>
      <c r="C8" s="262" t="s">
        <v>745</v>
      </c>
      <c r="D8" s="210">
        <f>E8+F8+L8+M8</f>
        <v>1291514</v>
      </c>
      <c r="E8" s="210">
        <v>578918</v>
      </c>
      <c r="F8" s="210">
        <f aca="true" t="shared" si="0" ref="F8:F28">G8+H8+J8+I8+K8</f>
        <v>712596</v>
      </c>
      <c r="G8" s="210">
        <v>37765</v>
      </c>
      <c r="H8" s="210">
        <v>0</v>
      </c>
      <c r="I8" s="210">
        <v>88426</v>
      </c>
      <c r="J8" s="210">
        <v>65434</v>
      </c>
      <c r="K8" s="210">
        <v>520971</v>
      </c>
      <c r="L8" s="210">
        <v>0</v>
      </c>
      <c r="M8" s="210">
        <v>0</v>
      </c>
      <c r="N8" s="262" t="s">
        <v>5</v>
      </c>
    </row>
    <row r="9" spans="1:14" ht="26.25" customHeight="1">
      <c r="A9" s="185">
        <v>600</v>
      </c>
      <c r="B9" s="587">
        <v>60014</v>
      </c>
      <c r="C9" s="262" t="s">
        <v>746</v>
      </c>
      <c r="D9" s="210">
        <f aca="true" t="shared" si="1" ref="D9:D29">E9+F9+L9+M9</f>
        <v>6657773</v>
      </c>
      <c r="E9" s="210">
        <v>1971733</v>
      </c>
      <c r="F9" s="210">
        <f t="shared" si="0"/>
        <v>2235752</v>
      </c>
      <c r="G9" s="210">
        <v>297606</v>
      </c>
      <c r="H9" s="210">
        <v>0</v>
      </c>
      <c r="I9" s="210">
        <v>294574</v>
      </c>
      <c r="J9" s="210">
        <v>174512</v>
      </c>
      <c r="K9" s="210">
        <v>1469060</v>
      </c>
      <c r="L9" s="210">
        <v>2450288</v>
      </c>
      <c r="M9" s="210">
        <v>0</v>
      </c>
      <c r="N9" s="262" t="s">
        <v>5</v>
      </c>
    </row>
    <row r="10" spans="1:14" ht="26.25" customHeight="1">
      <c r="A10" s="185">
        <v>600</v>
      </c>
      <c r="B10" s="587">
        <v>60014</v>
      </c>
      <c r="C10" s="262" t="s">
        <v>286</v>
      </c>
      <c r="D10" s="210">
        <f t="shared" si="1"/>
        <v>115302</v>
      </c>
      <c r="E10" s="210">
        <v>0</v>
      </c>
      <c r="F10" s="210">
        <f t="shared" si="0"/>
        <v>115302</v>
      </c>
      <c r="G10" s="210">
        <v>57651</v>
      </c>
      <c r="H10" s="210"/>
      <c r="I10" s="210"/>
      <c r="J10" s="210">
        <v>57651</v>
      </c>
      <c r="K10" s="210"/>
      <c r="L10" s="210"/>
      <c r="M10" s="210"/>
      <c r="N10" s="262" t="s">
        <v>6</v>
      </c>
    </row>
    <row r="11" spans="1:14" ht="15" customHeight="1">
      <c r="A11" s="185">
        <v>600</v>
      </c>
      <c r="B11" s="587">
        <v>60014</v>
      </c>
      <c r="C11" s="262" t="s">
        <v>0</v>
      </c>
      <c r="D11" s="210">
        <f t="shared" si="1"/>
        <v>9272</v>
      </c>
      <c r="E11" s="210"/>
      <c r="F11" s="210">
        <f t="shared" si="0"/>
        <v>9272</v>
      </c>
      <c r="G11" s="210">
        <v>9272</v>
      </c>
      <c r="H11" s="210"/>
      <c r="I11" s="210"/>
      <c r="J11" s="210"/>
      <c r="K11" s="210"/>
      <c r="L11" s="210"/>
      <c r="M11" s="210"/>
      <c r="N11" s="262" t="s">
        <v>3</v>
      </c>
    </row>
    <row r="12" spans="1:14" ht="15" customHeight="1">
      <c r="A12" s="185">
        <v>600</v>
      </c>
      <c r="B12" s="587">
        <v>60014</v>
      </c>
      <c r="C12" s="262" t="s">
        <v>1</v>
      </c>
      <c r="D12" s="210">
        <f t="shared" si="1"/>
        <v>10800</v>
      </c>
      <c r="E12" s="210">
        <v>0</v>
      </c>
      <c r="F12" s="210">
        <f t="shared" si="0"/>
        <v>10800</v>
      </c>
      <c r="G12" s="210">
        <v>10800</v>
      </c>
      <c r="H12" s="210"/>
      <c r="I12" s="210"/>
      <c r="J12" s="210"/>
      <c r="K12" s="210"/>
      <c r="L12" s="210"/>
      <c r="M12" s="210"/>
      <c r="N12" s="262" t="s">
        <v>3</v>
      </c>
    </row>
    <row r="13" spans="1:14" ht="18.75" customHeight="1">
      <c r="A13" s="185">
        <v>754</v>
      </c>
      <c r="B13" s="587">
        <v>75411</v>
      </c>
      <c r="C13" s="262" t="s">
        <v>2</v>
      </c>
      <c r="D13" s="210">
        <f t="shared" si="1"/>
        <v>30000</v>
      </c>
      <c r="E13" s="210"/>
      <c r="F13" s="210">
        <f t="shared" si="0"/>
        <v>30000</v>
      </c>
      <c r="G13" s="210">
        <v>10000</v>
      </c>
      <c r="H13" s="210"/>
      <c r="I13" s="210"/>
      <c r="J13" s="210">
        <v>20000</v>
      </c>
      <c r="K13" s="210"/>
      <c r="L13" s="210"/>
      <c r="M13" s="210"/>
      <c r="N13" s="262" t="s">
        <v>4</v>
      </c>
    </row>
    <row r="14" spans="1:14" ht="20.25" customHeight="1">
      <c r="A14" s="185">
        <v>801</v>
      </c>
      <c r="B14" s="587">
        <v>80111</v>
      </c>
      <c r="C14" s="264" t="s">
        <v>333</v>
      </c>
      <c r="D14" s="210">
        <f>E14+F14+L14+M14</f>
        <v>239251</v>
      </c>
      <c r="E14" s="210">
        <v>2500</v>
      </c>
      <c r="F14" s="210">
        <f t="shared" si="0"/>
        <v>236751</v>
      </c>
      <c r="G14" s="210"/>
      <c r="H14" s="210"/>
      <c r="I14" s="210"/>
      <c r="J14" s="210">
        <v>236751</v>
      </c>
      <c r="K14" s="210"/>
      <c r="L14" s="210"/>
      <c r="M14" s="210"/>
      <c r="N14" s="262" t="s">
        <v>7</v>
      </c>
    </row>
    <row r="15" spans="1:15" ht="22.5" customHeight="1">
      <c r="A15" s="108">
        <v>851</v>
      </c>
      <c r="B15" s="588">
        <v>85111</v>
      </c>
      <c r="C15" s="264" t="s">
        <v>551</v>
      </c>
      <c r="D15" s="210">
        <f t="shared" si="1"/>
        <v>6980000</v>
      </c>
      <c r="E15" s="210">
        <v>101860</v>
      </c>
      <c r="F15" s="210">
        <f t="shared" si="0"/>
        <v>1619069</v>
      </c>
      <c r="G15" s="211">
        <v>615457</v>
      </c>
      <c r="H15" s="211">
        <v>0</v>
      </c>
      <c r="I15" s="211">
        <v>0</v>
      </c>
      <c r="J15" s="211">
        <v>162854</v>
      </c>
      <c r="K15" s="211">
        <v>840758</v>
      </c>
      <c r="L15" s="211">
        <v>4097788</v>
      </c>
      <c r="M15" s="211">
        <v>1161283</v>
      </c>
      <c r="N15" s="263" t="s">
        <v>332</v>
      </c>
      <c r="O15" s="102"/>
    </row>
    <row r="16" spans="1:15" ht="18" customHeight="1">
      <c r="A16" s="108">
        <v>851</v>
      </c>
      <c r="B16" s="588">
        <v>85111</v>
      </c>
      <c r="C16" s="264" t="s">
        <v>68</v>
      </c>
      <c r="D16" s="210">
        <f t="shared" si="1"/>
        <v>28387</v>
      </c>
      <c r="E16" s="210">
        <v>0</v>
      </c>
      <c r="F16" s="210">
        <f t="shared" si="0"/>
        <v>28387</v>
      </c>
      <c r="G16" s="211">
        <v>28387</v>
      </c>
      <c r="H16" s="211"/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63" t="s">
        <v>331</v>
      </c>
      <c r="O16" s="102"/>
    </row>
    <row r="17" spans="1:15" ht="25.5" customHeight="1">
      <c r="A17" s="108">
        <v>851</v>
      </c>
      <c r="B17" s="588">
        <v>85117</v>
      </c>
      <c r="C17" s="264" t="s">
        <v>10</v>
      </c>
      <c r="D17" s="210">
        <f t="shared" si="1"/>
        <v>45000</v>
      </c>
      <c r="E17" s="210"/>
      <c r="F17" s="210">
        <f t="shared" si="0"/>
        <v>45000</v>
      </c>
      <c r="G17" s="211">
        <v>45000</v>
      </c>
      <c r="H17" s="211"/>
      <c r="I17" s="211"/>
      <c r="J17" s="211"/>
      <c r="K17" s="211"/>
      <c r="L17" s="211"/>
      <c r="M17" s="211"/>
      <c r="N17" s="263" t="s">
        <v>11</v>
      </c>
      <c r="O17" s="102"/>
    </row>
    <row r="18" spans="1:15" ht="24.75" customHeight="1">
      <c r="A18" s="108">
        <v>852</v>
      </c>
      <c r="B18" s="588">
        <v>85202</v>
      </c>
      <c r="C18" s="264" t="s">
        <v>806</v>
      </c>
      <c r="D18" s="210">
        <f t="shared" si="1"/>
        <v>73188</v>
      </c>
      <c r="E18" s="211">
        <v>0</v>
      </c>
      <c r="F18" s="210">
        <f t="shared" si="0"/>
        <v>73188</v>
      </c>
      <c r="G18" s="211">
        <v>37188</v>
      </c>
      <c r="H18" s="211"/>
      <c r="I18" s="211">
        <v>0</v>
      </c>
      <c r="J18" s="211">
        <v>36000</v>
      </c>
      <c r="K18" s="211">
        <v>0</v>
      </c>
      <c r="L18" s="211">
        <v>0</v>
      </c>
      <c r="M18" s="211">
        <v>0</v>
      </c>
      <c r="N18" s="263" t="s">
        <v>38</v>
      </c>
      <c r="O18" s="102"/>
    </row>
    <row r="19" spans="1:15" ht="14.25" customHeight="1">
      <c r="A19" s="108">
        <v>852</v>
      </c>
      <c r="B19" s="588">
        <v>85202</v>
      </c>
      <c r="C19" s="264" t="s">
        <v>743</v>
      </c>
      <c r="D19" s="210">
        <f t="shared" si="1"/>
        <v>5092</v>
      </c>
      <c r="E19" s="210"/>
      <c r="F19" s="210">
        <f>G19+I19+J19+K19</f>
        <v>5092</v>
      </c>
      <c r="G19" s="211">
        <v>5092</v>
      </c>
      <c r="H19" s="211">
        <v>5000</v>
      </c>
      <c r="I19" s="211"/>
      <c r="J19" s="211"/>
      <c r="K19" s="211"/>
      <c r="L19" s="211"/>
      <c r="M19" s="211"/>
      <c r="N19" s="263" t="s">
        <v>38</v>
      </c>
      <c r="O19" s="102"/>
    </row>
    <row r="20" spans="1:15" ht="16.5" customHeight="1">
      <c r="A20" s="108">
        <v>852</v>
      </c>
      <c r="B20" s="588">
        <v>85220</v>
      </c>
      <c r="C20" s="264" t="s">
        <v>772</v>
      </c>
      <c r="D20" s="210">
        <f t="shared" si="1"/>
        <v>45000</v>
      </c>
      <c r="E20" s="210"/>
      <c r="F20" s="210">
        <f t="shared" si="0"/>
        <v>45000</v>
      </c>
      <c r="G20" s="211">
        <v>45000</v>
      </c>
      <c r="H20" s="211"/>
      <c r="I20" s="211"/>
      <c r="J20" s="211"/>
      <c r="K20" s="211"/>
      <c r="L20" s="211"/>
      <c r="M20" s="211"/>
      <c r="N20" s="263" t="s">
        <v>443</v>
      </c>
      <c r="O20" s="102"/>
    </row>
    <row r="21" spans="1:15" ht="14.25" customHeight="1">
      <c r="A21" s="108">
        <v>853</v>
      </c>
      <c r="B21" s="588">
        <v>85333</v>
      </c>
      <c r="C21" s="264" t="s">
        <v>9</v>
      </c>
      <c r="D21" s="210">
        <f t="shared" si="1"/>
        <v>22741</v>
      </c>
      <c r="E21" s="210"/>
      <c r="F21" s="210">
        <f t="shared" si="0"/>
        <v>22741</v>
      </c>
      <c r="G21" s="211">
        <v>7741</v>
      </c>
      <c r="H21" s="211"/>
      <c r="I21" s="211"/>
      <c r="J21" s="211">
        <v>15000</v>
      </c>
      <c r="K21" s="211"/>
      <c r="L21" s="211"/>
      <c r="M21" s="211"/>
      <c r="N21" s="263" t="s">
        <v>748</v>
      </c>
      <c r="O21" s="102"/>
    </row>
    <row r="22" spans="1:15" ht="14.25" customHeight="1">
      <c r="A22" s="108">
        <v>853</v>
      </c>
      <c r="B22" s="588">
        <v>85333</v>
      </c>
      <c r="C22" s="264" t="s">
        <v>744</v>
      </c>
      <c r="D22" s="210">
        <f t="shared" si="1"/>
        <v>25000</v>
      </c>
      <c r="E22" s="210">
        <v>0</v>
      </c>
      <c r="F22" s="211">
        <f t="shared" si="0"/>
        <v>25000</v>
      </c>
      <c r="G22" s="211">
        <v>25000</v>
      </c>
      <c r="H22" s="211"/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63" t="s">
        <v>747</v>
      </c>
      <c r="O22" s="102"/>
    </row>
    <row r="23" spans="1:15" ht="20.25" customHeight="1">
      <c r="A23" s="108">
        <v>854</v>
      </c>
      <c r="B23" s="588">
        <v>85403</v>
      </c>
      <c r="C23" s="264" t="s">
        <v>287</v>
      </c>
      <c r="D23" s="210">
        <f t="shared" si="1"/>
        <v>188252</v>
      </c>
      <c r="E23" s="210"/>
      <c r="F23" s="211">
        <f t="shared" si="0"/>
        <v>188252</v>
      </c>
      <c r="G23" s="211">
        <v>18825</v>
      </c>
      <c r="H23" s="211"/>
      <c r="I23" s="211"/>
      <c r="J23" s="211">
        <v>169427</v>
      </c>
      <c r="K23" s="211"/>
      <c r="L23" s="211"/>
      <c r="M23" s="211"/>
      <c r="N23" s="262" t="s">
        <v>749</v>
      </c>
      <c r="O23" s="102"/>
    </row>
    <row r="24" spans="1:15" ht="18.75" customHeight="1">
      <c r="A24" s="108">
        <v>854</v>
      </c>
      <c r="B24" s="588">
        <v>85403</v>
      </c>
      <c r="C24" s="264" t="s">
        <v>750</v>
      </c>
      <c r="D24" s="210">
        <f t="shared" si="1"/>
        <v>199940</v>
      </c>
      <c r="E24" s="210">
        <v>20994</v>
      </c>
      <c r="F24" s="211">
        <f t="shared" si="0"/>
        <v>178946</v>
      </c>
      <c r="G24" s="211">
        <v>2018</v>
      </c>
      <c r="H24" s="211"/>
      <c r="I24" s="211"/>
      <c r="J24" s="211">
        <v>176928</v>
      </c>
      <c r="K24" s="211"/>
      <c r="L24" s="211"/>
      <c r="M24" s="211"/>
      <c r="N24" s="262" t="s">
        <v>749</v>
      </c>
      <c r="O24" s="102"/>
    </row>
    <row r="25" spans="1:15" ht="15.75" customHeight="1">
      <c r="A25" s="108">
        <v>854</v>
      </c>
      <c r="B25" s="588">
        <v>85403</v>
      </c>
      <c r="C25" s="264" t="s">
        <v>793</v>
      </c>
      <c r="D25" s="210">
        <f t="shared" si="1"/>
        <v>19535</v>
      </c>
      <c r="E25" s="210"/>
      <c r="F25" s="211">
        <f t="shared" si="0"/>
        <v>19535</v>
      </c>
      <c r="G25" s="211"/>
      <c r="H25" s="211"/>
      <c r="I25" s="211"/>
      <c r="J25" s="211">
        <v>19535</v>
      </c>
      <c r="K25" s="211"/>
      <c r="L25" s="211"/>
      <c r="M25" s="211"/>
      <c r="N25" s="262" t="s">
        <v>749</v>
      </c>
      <c r="O25" s="102"/>
    </row>
    <row r="26" spans="1:15" ht="18.75" customHeight="1">
      <c r="A26" s="108">
        <v>854</v>
      </c>
      <c r="B26" s="588">
        <v>85410</v>
      </c>
      <c r="C26" s="264" t="s">
        <v>35</v>
      </c>
      <c r="D26" s="211">
        <f t="shared" si="1"/>
        <v>484154</v>
      </c>
      <c r="E26" s="211">
        <v>13100</v>
      </c>
      <c r="F26" s="211">
        <f t="shared" si="0"/>
        <v>471054</v>
      </c>
      <c r="G26" s="211">
        <v>170821</v>
      </c>
      <c r="H26" s="211"/>
      <c r="I26" s="211">
        <v>0</v>
      </c>
      <c r="J26" s="211">
        <v>0</v>
      </c>
      <c r="K26" s="211">
        <v>300233</v>
      </c>
      <c r="L26" s="211">
        <v>0</v>
      </c>
      <c r="M26" s="211">
        <v>0</v>
      </c>
      <c r="N26" s="263" t="s">
        <v>329</v>
      </c>
      <c r="O26" s="102"/>
    </row>
    <row r="27" spans="1:15" ht="18.75" customHeight="1">
      <c r="A27" s="108">
        <v>801</v>
      </c>
      <c r="B27" s="588">
        <v>80130</v>
      </c>
      <c r="C27" s="264" t="s">
        <v>713</v>
      </c>
      <c r="D27" s="211">
        <f t="shared" si="1"/>
        <v>29951</v>
      </c>
      <c r="E27" s="211"/>
      <c r="F27" s="211">
        <f t="shared" si="0"/>
        <v>29951</v>
      </c>
      <c r="G27" s="211">
        <v>29951</v>
      </c>
      <c r="H27" s="211"/>
      <c r="I27" s="211"/>
      <c r="J27" s="211"/>
      <c r="K27" s="211"/>
      <c r="L27" s="211"/>
      <c r="M27" s="211"/>
      <c r="N27" s="263" t="s">
        <v>8</v>
      </c>
      <c r="O27" s="102"/>
    </row>
    <row r="28" spans="1:15" ht="23.25" customHeight="1" thickBot="1">
      <c r="A28" s="108">
        <v>700</v>
      </c>
      <c r="B28" s="588">
        <v>70005</v>
      </c>
      <c r="C28" s="264" t="s">
        <v>751</v>
      </c>
      <c r="D28" s="211">
        <f>E28+F28+L28+M28</f>
        <v>562531</v>
      </c>
      <c r="E28" s="211">
        <v>0</v>
      </c>
      <c r="F28" s="211">
        <f t="shared" si="0"/>
        <v>562531</v>
      </c>
      <c r="G28" s="211">
        <v>272531</v>
      </c>
      <c r="H28" s="211"/>
      <c r="I28" s="211"/>
      <c r="J28" s="211">
        <v>290000</v>
      </c>
      <c r="K28" s="211"/>
      <c r="L28" s="211"/>
      <c r="M28" s="211"/>
      <c r="N28" s="263" t="s">
        <v>330</v>
      </c>
      <c r="O28" s="102"/>
    </row>
    <row r="29" spans="1:14" s="34" customFormat="1" ht="16.5" customHeight="1" thickBot="1">
      <c r="A29" s="715" t="s">
        <v>670</v>
      </c>
      <c r="B29" s="716"/>
      <c r="C29" s="717"/>
      <c r="D29" s="430">
        <f t="shared" si="1"/>
        <v>17062683</v>
      </c>
      <c r="E29" s="430">
        <f>E8+E9+E10+E11+E12+E13+E14+E15+E16+E17+E18+E19+E20+E21+E22+E23+E24+E25+E26+E27+E28</f>
        <v>2689105</v>
      </c>
      <c r="F29" s="430">
        <f>F8+F9+F10+F11+F12+F13+F14+F15+F16+F17+F18+F19+F20+F21+F22+F23+F24+F25+F26+F27+F28</f>
        <v>6664219</v>
      </c>
      <c r="G29" s="430">
        <f aca="true" t="shared" si="2" ref="G29:L29">G8+G9+G10+G11+G12+G13+G14+G15+G16+G17+G18+G19+G20+G21+G22+G23+G24+G25+G26+G27+G28</f>
        <v>1726105</v>
      </c>
      <c r="H29" s="430">
        <f t="shared" si="2"/>
        <v>5000</v>
      </c>
      <c r="I29" s="430">
        <f t="shared" si="2"/>
        <v>383000</v>
      </c>
      <c r="J29" s="430">
        <f t="shared" si="2"/>
        <v>1424092</v>
      </c>
      <c r="K29" s="430">
        <f t="shared" si="2"/>
        <v>3131022</v>
      </c>
      <c r="L29" s="430">
        <f t="shared" si="2"/>
        <v>6548076</v>
      </c>
      <c r="M29" s="430">
        <f>M8+M9+M10+M11+M12+M13+M14+M15+M16+M17+M18+M19+M20+M21+M22+M23+M24+M25+M26+M27+M28</f>
        <v>1161283</v>
      </c>
      <c r="N29" s="430"/>
    </row>
    <row r="30" spans="1:11" ht="4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3" ht="12.75">
      <c r="A31" s="106"/>
      <c r="B31" s="106"/>
      <c r="C31" s="106"/>
      <c r="D31" s="106"/>
      <c r="E31" s="106"/>
      <c r="F31" s="106"/>
      <c r="G31" s="731" t="s">
        <v>798</v>
      </c>
      <c r="H31" s="732"/>
      <c r="I31" s="732"/>
      <c r="J31" s="732"/>
      <c r="K31" s="732"/>
      <c r="L31" s="732"/>
      <c r="M31" s="732"/>
    </row>
    <row r="32" spans="1:13" ht="11.25" customHeight="1">
      <c r="A32" s="106" t="s">
        <v>137</v>
      </c>
      <c r="B32" s="106"/>
      <c r="C32" s="106"/>
      <c r="D32" s="106"/>
      <c r="E32" s="106"/>
      <c r="F32" s="106"/>
      <c r="G32" s="106"/>
      <c r="H32" s="106"/>
      <c r="I32" s="106"/>
      <c r="J32" s="727"/>
      <c r="K32" s="727"/>
      <c r="L32" s="727"/>
      <c r="M32" s="727"/>
    </row>
    <row r="33" spans="1:11" ht="12.75" hidden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ht="12" customHeight="1"/>
    <row r="38" ht="12.75" hidden="1"/>
    <row r="39" ht="18" customHeight="1"/>
  </sheetData>
  <mergeCells count="16">
    <mergeCell ref="J32:M32"/>
    <mergeCell ref="D3:D5"/>
    <mergeCell ref="C3:C5"/>
    <mergeCell ref="L4:L5"/>
    <mergeCell ref="F4:F5"/>
    <mergeCell ref="G31:M31"/>
    <mergeCell ref="I1:N1"/>
    <mergeCell ref="A29:C29"/>
    <mergeCell ref="M4:M5"/>
    <mergeCell ref="N3:N5"/>
    <mergeCell ref="A2:N2"/>
    <mergeCell ref="A3:A5"/>
    <mergeCell ref="B3:B5"/>
    <mergeCell ref="G4:J4"/>
    <mergeCell ref="F3:M3"/>
    <mergeCell ref="E3:E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">
      <selection activeCell="E1" sqref="E1:N1"/>
    </sheetView>
  </sheetViews>
  <sheetFormatPr defaultColWidth="9.00390625" defaultRowHeight="12.75"/>
  <cols>
    <col min="1" max="1" width="3.25390625" style="0" customWidth="1"/>
    <col min="2" max="2" width="28.375" style="0" customWidth="1"/>
    <col min="3" max="3" width="9.00390625" style="0" customWidth="1"/>
  </cols>
  <sheetData>
    <row r="1" spans="5:14" ht="12.75" customHeight="1">
      <c r="E1" s="733" t="s">
        <v>815</v>
      </c>
      <c r="F1" s="733"/>
      <c r="G1" s="733"/>
      <c r="H1" s="733"/>
      <c r="I1" s="733"/>
      <c r="J1" s="733"/>
      <c r="K1" s="733"/>
      <c r="L1" s="733"/>
      <c r="M1" s="733"/>
      <c r="N1" s="733"/>
    </row>
    <row r="2" ht="11.25" customHeight="1"/>
    <row r="3" ht="0.75" customHeight="1"/>
    <row r="4" spans="1:14" ht="15.75" customHeight="1" thickBot="1">
      <c r="A4" s="741" t="s">
        <v>792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</row>
    <row r="5" spans="1:14" ht="13.5" thickBot="1">
      <c r="A5" s="735" t="s">
        <v>569</v>
      </c>
      <c r="B5" s="735" t="s">
        <v>616</v>
      </c>
      <c r="C5" s="737" t="s">
        <v>386</v>
      </c>
      <c r="D5" s="739" t="s">
        <v>182</v>
      </c>
      <c r="E5" s="739"/>
      <c r="F5" s="739"/>
      <c r="G5" s="739"/>
      <c r="H5" s="739"/>
      <c r="I5" s="739"/>
      <c r="J5" s="739"/>
      <c r="K5" s="739"/>
      <c r="L5" s="739"/>
      <c r="M5" s="739"/>
      <c r="N5" s="740"/>
    </row>
    <row r="6" spans="1:14" ht="22.5" customHeight="1" thickBot="1">
      <c r="A6" s="736"/>
      <c r="B6" s="736"/>
      <c r="C6" s="738"/>
      <c r="D6" s="242">
        <v>2006</v>
      </c>
      <c r="E6" s="242">
        <v>2007</v>
      </c>
      <c r="F6" s="242">
        <v>2008</v>
      </c>
      <c r="G6" s="242">
        <v>2009</v>
      </c>
      <c r="H6" s="242">
        <v>2010</v>
      </c>
      <c r="I6" s="242">
        <v>2011</v>
      </c>
      <c r="J6" s="242">
        <v>2012</v>
      </c>
      <c r="K6" s="243">
        <v>2013</v>
      </c>
      <c r="L6" s="243">
        <v>2014</v>
      </c>
      <c r="M6" s="242">
        <v>2015</v>
      </c>
      <c r="N6" s="242">
        <v>2016</v>
      </c>
    </row>
    <row r="7" spans="1:14" ht="11.25" customHeight="1" thickBot="1">
      <c r="A7" s="542">
        <v>1</v>
      </c>
      <c r="B7" s="542">
        <v>2</v>
      </c>
      <c r="C7" s="543">
        <v>3</v>
      </c>
      <c r="D7" s="544">
        <v>5</v>
      </c>
      <c r="E7" s="545">
        <v>6</v>
      </c>
      <c r="F7" s="544">
        <v>7</v>
      </c>
      <c r="G7" s="544">
        <v>8</v>
      </c>
      <c r="H7" s="544">
        <v>9</v>
      </c>
      <c r="I7" s="544">
        <v>10</v>
      </c>
      <c r="J7" s="544">
        <v>11</v>
      </c>
      <c r="K7" s="546">
        <v>12</v>
      </c>
      <c r="L7" s="546">
        <v>13</v>
      </c>
      <c r="M7" s="546"/>
      <c r="N7" s="543">
        <v>14</v>
      </c>
    </row>
    <row r="8" spans="1:14" ht="15" customHeight="1">
      <c r="A8" s="569" t="s">
        <v>581</v>
      </c>
      <c r="B8" s="267" t="s">
        <v>648</v>
      </c>
      <c r="C8" s="547">
        <v>8483700</v>
      </c>
      <c r="D8" s="548">
        <v>7377132</v>
      </c>
      <c r="E8" s="547">
        <v>6220564</v>
      </c>
      <c r="F8" s="547">
        <v>5046271</v>
      </c>
      <c r="G8" s="547">
        <v>3799703</v>
      </c>
      <c r="H8" s="547">
        <v>2743135</v>
      </c>
      <c r="I8" s="547">
        <v>1686567</v>
      </c>
      <c r="J8" s="548">
        <v>630000</v>
      </c>
      <c r="K8" s="547">
        <v>0</v>
      </c>
      <c r="L8" s="547">
        <v>0</v>
      </c>
      <c r="M8" s="547"/>
      <c r="N8" s="547">
        <v>0</v>
      </c>
    </row>
    <row r="9" spans="1:14" ht="12.75">
      <c r="A9" s="570" t="s">
        <v>582</v>
      </c>
      <c r="B9" s="240" t="s">
        <v>715</v>
      </c>
      <c r="C9" s="112">
        <v>137600</v>
      </c>
      <c r="D9" s="189">
        <v>72000</v>
      </c>
      <c r="E9" s="112">
        <v>36000</v>
      </c>
      <c r="F9" s="112">
        <v>0</v>
      </c>
      <c r="G9" s="112">
        <v>0</v>
      </c>
      <c r="H9" s="112">
        <v>0</v>
      </c>
      <c r="I9" s="112">
        <v>0</v>
      </c>
      <c r="J9" s="189">
        <v>0</v>
      </c>
      <c r="K9" s="112">
        <v>0</v>
      </c>
      <c r="L9" s="112">
        <v>0</v>
      </c>
      <c r="M9" s="112"/>
      <c r="N9" s="112">
        <v>0</v>
      </c>
    </row>
    <row r="10" spans="1:14" ht="18" customHeight="1">
      <c r="A10" s="571" t="s">
        <v>584</v>
      </c>
      <c r="B10" s="240" t="s">
        <v>804</v>
      </c>
      <c r="C10" s="549">
        <v>0</v>
      </c>
      <c r="D10" s="550">
        <v>0</v>
      </c>
      <c r="E10" s="549">
        <v>918528</v>
      </c>
      <c r="F10" s="549">
        <v>870000</v>
      </c>
      <c r="G10" s="549">
        <v>825000</v>
      </c>
      <c r="H10" s="549">
        <v>780000</v>
      </c>
      <c r="I10" s="549">
        <v>685000</v>
      </c>
      <c r="J10" s="550">
        <v>590000</v>
      </c>
      <c r="K10" s="549">
        <v>445000</v>
      </c>
      <c r="L10" s="113">
        <v>300000</v>
      </c>
      <c r="M10" s="112">
        <v>0</v>
      </c>
      <c r="N10" s="550">
        <v>0</v>
      </c>
    </row>
    <row r="11" spans="1:14" ht="12.75">
      <c r="A11" s="571" t="s">
        <v>586</v>
      </c>
      <c r="B11" s="241" t="s">
        <v>649</v>
      </c>
      <c r="C11" s="549">
        <v>300000</v>
      </c>
      <c r="D11" s="550">
        <v>2374526</v>
      </c>
      <c r="E11" s="549">
        <v>2300000</v>
      </c>
      <c r="F11" s="549">
        <v>2200000</v>
      </c>
      <c r="G11" s="549">
        <v>1950000</v>
      </c>
      <c r="H11" s="549">
        <v>1600000</v>
      </c>
      <c r="I11" s="549">
        <v>1280000</v>
      </c>
      <c r="J11" s="550">
        <v>960000</v>
      </c>
      <c r="K11" s="549">
        <v>640000</v>
      </c>
      <c r="L11" s="549">
        <v>320000</v>
      </c>
      <c r="M11" s="549"/>
      <c r="N11" s="549">
        <v>0</v>
      </c>
    </row>
    <row r="12" spans="1:14" ht="18.75" customHeight="1">
      <c r="A12" s="570" t="s">
        <v>588</v>
      </c>
      <c r="B12" s="240" t="s">
        <v>650</v>
      </c>
      <c r="C12" s="112">
        <v>1887123</v>
      </c>
      <c r="D12" s="189">
        <f>'z8'!D16</f>
        <v>2451050</v>
      </c>
      <c r="E12" s="112">
        <v>0</v>
      </c>
      <c r="F12" s="112"/>
      <c r="G12" s="112"/>
      <c r="H12" s="112"/>
      <c r="I12" s="112"/>
      <c r="J12" s="189"/>
      <c r="K12" s="112"/>
      <c r="L12" s="112"/>
      <c r="M12" s="112"/>
      <c r="N12" s="112">
        <v>0</v>
      </c>
    </row>
    <row r="13" spans="1:14" ht="19.5" customHeight="1">
      <c r="A13" s="570" t="s">
        <v>621</v>
      </c>
      <c r="B13" s="240" t="s">
        <v>651</v>
      </c>
      <c r="C13" s="112">
        <v>356000</v>
      </c>
      <c r="D13" s="189">
        <v>739000</v>
      </c>
      <c r="E13" s="112">
        <v>1073439</v>
      </c>
      <c r="F13" s="112">
        <v>1058439</v>
      </c>
      <c r="G13" s="112">
        <v>882035</v>
      </c>
      <c r="H13" s="112">
        <v>705631</v>
      </c>
      <c r="I13" s="112">
        <v>529227</v>
      </c>
      <c r="J13" s="189">
        <v>352823</v>
      </c>
      <c r="K13" s="112">
        <v>176419</v>
      </c>
      <c r="L13" s="112">
        <v>0</v>
      </c>
      <c r="M13" s="112"/>
      <c r="N13" s="112">
        <v>0</v>
      </c>
    </row>
    <row r="14" spans="1:14" ht="17.25" customHeight="1">
      <c r="A14" s="570" t="s">
        <v>623</v>
      </c>
      <c r="B14" s="240" t="s">
        <v>513</v>
      </c>
      <c r="C14" s="112">
        <v>0</v>
      </c>
      <c r="D14" s="189">
        <v>0</v>
      </c>
      <c r="E14" s="112">
        <v>0</v>
      </c>
      <c r="F14" s="112">
        <v>279877</v>
      </c>
      <c r="G14" s="112">
        <v>191985</v>
      </c>
      <c r="H14" s="112">
        <v>214251</v>
      </c>
      <c r="I14" s="112">
        <v>280968</v>
      </c>
      <c r="J14" s="189">
        <v>1099598</v>
      </c>
      <c r="K14" s="112">
        <v>105398</v>
      </c>
      <c r="L14" s="112">
        <v>102446</v>
      </c>
      <c r="M14" s="112">
        <v>36982</v>
      </c>
      <c r="N14" s="112">
        <v>0</v>
      </c>
    </row>
    <row r="15" spans="1:14" ht="18.75" customHeight="1">
      <c r="A15" s="572" t="s">
        <v>606</v>
      </c>
      <c r="B15" s="240" t="s">
        <v>652</v>
      </c>
      <c r="C15" s="112">
        <f>C16+C17+C18+C19</f>
        <v>0</v>
      </c>
      <c r="D15" s="189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89">
        <v>0</v>
      </c>
      <c r="K15" s="112">
        <v>0</v>
      </c>
      <c r="L15" s="112">
        <v>0</v>
      </c>
      <c r="M15" s="112"/>
      <c r="N15" s="112">
        <v>0</v>
      </c>
    </row>
    <row r="16" spans="1:14" ht="11.25" customHeight="1">
      <c r="A16" s="570"/>
      <c r="B16" s="241" t="s">
        <v>617</v>
      </c>
      <c r="C16" s="112">
        <v>0</v>
      </c>
      <c r="D16" s="189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89">
        <v>0</v>
      </c>
      <c r="K16" s="112">
        <v>0</v>
      </c>
      <c r="L16" s="112">
        <v>0</v>
      </c>
      <c r="M16" s="112"/>
      <c r="N16" s="112">
        <v>0</v>
      </c>
    </row>
    <row r="17" spans="1:14" ht="11.25" customHeight="1">
      <c r="A17" s="570"/>
      <c r="B17" s="241" t="s">
        <v>618</v>
      </c>
      <c r="C17" s="112">
        <v>0</v>
      </c>
      <c r="D17" s="189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89">
        <v>0</v>
      </c>
      <c r="K17" s="112">
        <v>0</v>
      </c>
      <c r="L17" s="112">
        <v>0</v>
      </c>
      <c r="M17" s="112"/>
      <c r="N17" s="112">
        <v>0</v>
      </c>
    </row>
    <row r="18" spans="1:14" ht="10.5" customHeight="1">
      <c r="A18" s="570"/>
      <c r="B18" s="241" t="s">
        <v>619</v>
      </c>
      <c r="C18" s="112">
        <v>0</v>
      </c>
      <c r="D18" s="189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89">
        <v>0</v>
      </c>
      <c r="K18" s="112">
        <v>0</v>
      </c>
      <c r="L18" s="112">
        <v>0</v>
      </c>
      <c r="M18" s="112"/>
      <c r="N18" s="112">
        <v>0</v>
      </c>
    </row>
    <row r="19" spans="1:14" ht="10.5" customHeight="1">
      <c r="A19" s="570"/>
      <c r="B19" s="241" t="s">
        <v>620</v>
      </c>
      <c r="C19" s="112">
        <v>0</v>
      </c>
      <c r="D19" s="189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89">
        <v>0</v>
      </c>
      <c r="K19" s="112">
        <v>0</v>
      </c>
      <c r="L19" s="112">
        <v>0</v>
      </c>
      <c r="M19" s="112"/>
      <c r="N19" s="112">
        <v>0</v>
      </c>
    </row>
    <row r="20" spans="1:14" ht="12.75">
      <c r="A20" s="570" t="s">
        <v>672</v>
      </c>
      <c r="B20" s="241" t="s">
        <v>622</v>
      </c>
      <c r="C20" s="112">
        <v>11164423</v>
      </c>
      <c r="D20" s="189">
        <f>D8+D9+D10+D11+D12+D13+D14+D15</f>
        <v>13013708</v>
      </c>
      <c r="E20" s="189">
        <f aca="true" t="shared" si="0" ref="E20:N20">E8+E9+E10+E11+E12+E13+E14+E15</f>
        <v>10548531</v>
      </c>
      <c r="F20" s="189">
        <f t="shared" si="0"/>
        <v>9454587</v>
      </c>
      <c r="G20" s="189">
        <f t="shared" si="0"/>
        <v>7648723</v>
      </c>
      <c r="H20" s="189">
        <f t="shared" si="0"/>
        <v>6043017</v>
      </c>
      <c r="I20" s="189">
        <f t="shared" si="0"/>
        <v>4461762</v>
      </c>
      <c r="J20" s="189">
        <f t="shared" si="0"/>
        <v>3632421</v>
      </c>
      <c r="K20" s="189">
        <f t="shared" si="0"/>
        <v>1366817</v>
      </c>
      <c r="L20" s="189">
        <f t="shared" si="0"/>
        <v>722446</v>
      </c>
      <c r="M20" s="189">
        <f t="shared" si="0"/>
        <v>36982</v>
      </c>
      <c r="N20" s="189">
        <f t="shared" si="0"/>
        <v>0</v>
      </c>
    </row>
    <row r="21" spans="1:14" ht="13.5" thickBot="1">
      <c r="A21" s="571" t="s">
        <v>660</v>
      </c>
      <c r="B21" s="573" t="s">
        <v>624</v>
      </c>
      <c r="C21" s="551">
        <v>30327932</v>
      </c>
      <c r="D21" s="552">
        <f>'z8'!D9</f>
        <v>32973160</v>
      </c>
      <c r="E21" s="553">
        <v>34230109</v>
      </c>
      <c r="F21" s="553">
        <v>30145000</v>
      </c>
      <c r="G21" s="553">
        <v>29600000</v>
      </c>
      <c r="H21" s="553">
        <v>29200000</v>
      </c>
      <c r="I21" s="553">
        <v>29400000</v>
      </c>
      <c r="J21" s="554">
        <v>29500000</v>
      </c>
      <c r="K21" s="553">
        <v>29600000</v>
      </c>
      <c r="L21" s="553">
        <v>29700000</v>
      </c>
      <c r="M21" s="553">
        <v>30000000</v>
      </c>
      <c r="N21" s="553">
        <v>30100000</v>
      </c>
    </row>
    <row r="22" spans="1:14" ht="21" customHeight="1" thickBot="1">
      <c r="A22" s="744" t="s">
        <v>647</v>
      </c>
      <c r="B22" s="745"/>
      <c r="C22" s="555">
        <f>C20/C21</f>
        <v>0.3681234513451164</v>
      </c>
      <c r="D22" s="556">
        <f>D20/D21</f>
        <v>0.3946757908553502</v>
      </c>
      <c r="E22" s="555">
        <f>E20/E21</f>
        <v>0.3081652763653192</v>
      </c>
      <c r="F22" s="555">
        <f>F20/F21</f>
        <v>0.313636987891856</v>
      </c>
      <c r="G22" s="555">
        <v>0.1808</v>
      </c>
      <c r="H22" s="555">
        <f aca="true" t="shared" si="1" ref="H22:N22">H20/H21</f>
        <v>0.20695263698630137</v>
      </c>
      <c r="I22" s="555">
        <f t="shared" si="1"/>
        <v>0.15176061224489795</v>
      </c>
      <c r="J22" s="557">
        <f t="shared" si="1"/>
        <v>0.1231329152542373</v>
      </c>
      <c r="K22" s="557">
        <f t="shared" si="1"/>
        <v>0.04617625</v>
      </c>
      <c r="L22" s="557">
        <f t="shared" si="1"/>
        <v>0.024324781144781146</v>
      </c>
      <c r="M22" s="557">
        <f t="shared" si="1"/>
        <v>0.0012327333333333333</v>
      </c>
      <c r="N22" s="557">
        <f t="shared" si="1"/>
        <v>0</v>
      </c>
    </row>
    <row r="23" spans="1:14" ht="13.5" thickBot="1">
      <c r="A23" s="574"/>
      <c r="B23" s="575"/>
      <c r="C23" s="558"/>
      <c r="D23" s="559"/>
      <c r="E23" s="560"/>
      <c r="F23" s="560"/>
      <c r="G23" s="560"/>
      <c r="H23" s="560"/>
      <c r="I23" s="560"/>
      <c r="J23" s="561"/>
      <c r="K23" s="561"/>
      <c r="L23" s="561"/>
      <c r="M23" s="561"/>
      <c r="N23" s="561"/>
    </row>
    <row r="24" spans="1:14" ht="3" customHeight="1">
      <c r="A24" s="576"/>
      <c r="B24" s="577"/>
      <c r="C24" s="562"/>
      <c r="D24" s="562"/>
      <c r="E24" s="562"/>
      <c r="F24" s="562"/>
      <c r="G24" s="562"/>
      <c r="H24" s="563"/>
      <c r="I24" s="106"/>
      <c r="J24" s="106"/>
      <c r="K24" s="106"/>
      <c r="L24" s="106"/>
      <c r="M24" s="106"/>
      <c r="N24" s="563"/>
    </row>
    <row r="25" spans="1:14" ht="19.5">
      <c r="A25" s="578"/>
      <c r="B25" s="403" t="s">
        <v>653</v>
      </c>
      <c r="C25" s="108">
        <v>1086568</v>
      </c>
      <c r="D25" s="108">
        <v>1406568</v>
      </c>
      <c r="E25" s="564">
        <v>1156568</v>
      </c>
      <c r="F25" s="564">
        <v>1174293</v>
      </c>
      <c r="G25" s="564">
        <v>1246568</v>
      </c>
      <c r="H25" s="108">
        <v>1056568</v>
      </c>
      <c r="I25" s="108">
        <v>1056568</v>
      </c>
      <c r="J25" s="108">
        <v>1056567</v>
      </c>
      <c r="K25" s="565">
        <v>630000</v>
      </c>
      <c r="L25" s="565">
        <v>0</v>
      </c>
      <c r="M25" s="565"/>
      <c r="N25" s="108">
        <v>0</v>
      </c>
    </row>
    <row r="26" spans="1:14" ht="22.5" customHeight="1">
      <c r="A26" s="578"/>
      <c r="B26" s="404" t="s">
        <v>183</v>
      </c>
      <c r="C26" s="503">
        <v>56400</v>
      </c>
      <c r="D26" s="503">
        <v>36000</v>
      </c>
      <c r="E26" s="503">
        <v>36000</v>
      </c>
      <c r="F26" s="503">
        <v>36000</v>
      </c>
      <c r="G26" s="566">
        <v>0</v>
      </c>
      <c r="H26" s="566">
        <v>0</v>
      </c>
      <c r="I26" s="503">
        <v>0</v>
      </c>
      <c r="J26" s="108">
        <v>0</v>
      </c>
      <c r="K26" s="565">
        <v>0</v>
      </c>
      <c r="L26" s="565">
        <v>0</v>
      </c>
      <c r="M26" s="565"/>
      <c r="N26" s="108">
        <v>0</v>
      </c>
    </row>
    <row r="27" spans="1:14" ht="19.5">
      <c r="A27" s="578"/>
      <c r="B27" s="404" t="s">
        <v>335</v>
      </c>
      <c r="C27" s="503">
        <v>0</v>
      </c>
      <c r="D27" s="503">
        <v>0</v>
      </c>
      <c r="E27" s="503">
        <v>74526</v>
      </c>
      <c r="F27" s="503">
        <v>100000</v>
      </c>
      <c r="G27" s="503">
        <v>250000</v>
      </c>
      <c r="H27" s="503">
        <v>350000</v>
      </c>
      <c r="I27" s="503">
        <v>320000</v>
      </c>
      <c r="J27" s="503">
        <v>320000</v>
      </c>
      <c r="K27" s="565">
        <v>320000</v>
      </c>
      <c r="L27" s="565">
        <v>320000</v>
      </c>
      <c r="M27" s="108">
        <v>320000</v>
      </c>
      <c r="N27" s="108">
        <v>0</v>
      </c>
    </row>
    <row r="28" spans="1:14" ht="18" customHeight="1">
      <c r="A28" s="578"/>
      <c r="B28" s="404" t="s">
        <v>805</v>
      </c>
      <c r="C28" s="566">
        <v>0</v>
      </c>
      <c r="D28" s="503">
        <v>0</v>
      </c>
      <c r="E28" s="503">
        <v>0</v>
      </c>
      <c r="F28" s="503">
        <v>48528</v>
      </c>
      <c r="G28" s="503">
        <v>45000</v>
      </c>
      <c r="H28" s="503">
        <v>45000</v>
      </c>
      <c r="I28" s="503">
        <v>95000</v>
      </c>
      <c r="J28" s="503">
        <v>95000</v>
      </c>
      <c r="K28" s="565">
        <v>145000</v>
      </c>
      <c r="L28" s="565">
        <v>145000</v>
      </c>
      <c r="M28" s="112">
        <v>300000</v>
      </c>
      <c r="N28" s="112">
        <v>0</v>
      </c>
    </row>
    <row r="29" spans="1:14" ht="19.5">
      <c r="A29" s="578"/>
      <c r="B29" s="404" t="s">
        <v>334</v>
      </c>
      <c r="C29" s="566">
        <v>0</v>
      </c>
      <c r="D29" s="503">
        <v>1887123</v>
      </c>
      <c r="E29" s="503">
        <v>2451050</v>
      </c>
      <c r="F29" s="503">
        <v>0</v>
      </c>
      <c r="G29" s="503">
        <v>0</v>
      </c>
      <c r="H29" s="503">
        <v>0</v>
      </c>
      <c r="I29" s="503">
        <v>0</v>
      </c>
      <c r="J29" s="503">
        <v>0</v>
      </c>
      <c r="K29" s="565">
        <v>0</v>
      </c>
      <c r="L29" s="565">
        <v>0</v>
      </c>
      <c r="M29" s="565"/>
      <c r="N29" s="108">
        <v>0</v>
      </c>
    </row>
    <row r="30" spans="1:14" ht="18" customHeight="1">
      <c r="A30" s="578"/>
      <c r="B30" s="404" t="s">
        <v>654</v>
      </c>
      <c r="C30" s="566">
        <v>0</v>
      </c>
      <c r="D30" s="503">
        <v>0</v>
      </c>
      <c r="E30" s="503">
        <v>0</v>
      </c>
      <c r="F30" s="503">
        <v>15000</v>
      </c>
      <c r="G30" s="503">
        <v>176404</v>
      </c>
      <c r="H30" s="503">
        <v>176404</v>
      </c>
      <c r="I30" s="503">
        <v>176404</v>
      </c>
      <c r="J30" s="503">
        <v>176404</v>
      </c>
      <c r="K30" s="565">
        <v>176404</v>
      </c>
      <c r="L30" s="565">
        <v>176419</v>
      </c>
      <c r="M30" s="565"/>
      <c r="N30" s="108">
        <v>0</v>
      </c>
    </row>
    <row r="31" spans="1:14" ht="15.75" customHeight="1">
      <c r="A31" s="742" t="s">
        <v>658</v>
      </c>
      <c r="B31" s="743"/>
      <c r="C31" s="567">
        <f>C25+C26+C27+C28+C29+C30</f>
        <v>1142968</v>
      </c>
      <c r="D31" s="567">
        <f aca="true" t="shared" si="2" ref="D31:N31">D25+D26+D27+D28+D29+D30</f>
        <v>3329691</v>
      </c>
      <c r="E31" s="567">
        <f t="shared" si="2"/>
        <v>3718144</v>
      </c>
      <c r="F31" s="567">
        <f t="shared" si="2"/>
        <v>1373821</v>
      </c>
      <c r="G31" s="567">
        <f t="shared" si="2"/>
        <v>1717972</v>
      </c>
      <c r="H31" s="567">
        <f t="shared" si="2"/>
        <v>1627972</v>
      </c>
      <c r="I31" s="567">
        <f t="shared" si="2"/>
        <v>1647972</v>
      </c>
      <c r="J31" s="567">
        <f t="shared" si="2"/>
        <v>1647971</v>
      </c>
      <c r="K31" s="567">
        <f t="shared" si="2"/>
        <v>1271404</v>
      </c>
      <c r="L31" s="567">
        <f t="shared" si="2"/>
        <v>641419</v>
      </c>
      <c r="M31" s="567">
        <f t="shared" si="2"/>
        <v>620000</v>
      </c>
      <c r="N31" s="567">
        <f t="shared" si="2"/>
        <v>0</v>
      </c>
    </row>
    <row r="32" spans="1:14" ht="15.75" customHeight="1">
      <c r="A32" s="746" t="s">
        <v>714</v>
      </c>
      <c r="B32" s="747"/>
      <c r="C32" s="568">
        <f>C31/C21</f>
        <v>0.037686974502580656</v>
      </c>
      <c r="D32" s="568">
        <f aca="true" t="shared" si="3" ref="D32:L32">D31/D21</f>
        <v>0.1009818591848643</v>
      </c>
      <c r="E32" s="568">
        <f t="shared" si="3"/>
        <v>0.10862203214135252</v>
      </c>
      <c r="F32" s="568">
        <f t="shared" si="3"/>
        <v>0.045573760159230384</v>
      </c>
      <c r="G32" s="568">
        <f t="shared" si="3"/>
        <v>0.058039594594594596</v>
      </c>
      <c r="H32" s="568">
        <f t="shared" si="3"/>
        <v>0.05575246575342466</v>
      </c>
      <c r="I32" s="568">
        <f t="shared" si="3"/>
        <v>0.0560534693877551</v>
      </c>
      <c r="J32" s="568">
        <f t="shared" si="3"/>
        <v>0.05586342372881356</v>
      </c>
      <c r="K32" s="568">
        <f t="shared" si="3"/>
        <v>0.042952837837837834</v>
      </c>
      <c r="L32" s="568">
        <f t="shared" si="3"/>
        <v>0.021596599326599325</v>
      </c>
      <c r="M32" s="568">
        <f>M31/M21</f>
        <v>0.020666666666666667</v>
      </c>
      <c r="N32" s="568">
        <f>N31/N21</f>
        <v>0</v>
      </c>
    </row>
    <row r="33" spans="1:14" ht="16.5" customHeight="1">
      <c r="A33" s="190"/>
      <c r="B33" s="190"/>
      <c r="C33" s="190"/>
      <c r="D33" s="190"/>
      <c r="E33" s="190"/>
      <c r="F33" s="190"/>
      <c r="G33" s="734" t="s">
        <v>780</v>
      </c>
      <c r="H33" s="734"/>
      <c r="I33" s="734"/>
      <c r="J33" s="734"/>
      <c r="K33" s="734"/>
      <c r="L33" s="734"/>
      <c r="M33" s="734"/>
      <c r="N33" s="734"/>
    </row>
    <row r="34" ht="16.5" customHeight="1"/>
    <row r="35" spans="9:11" ht="12.75" hidden="1">
      <c r="I35" s="590" t="s">
        <v>37</v>
      </c>
      <c r="J35" s="590"/>
      <c r="K35" s="590"/>
    </row>
    <row r="36" spans="10:11" ht="12.75">
      <c r="J36" s="590" t="s">
        <v>795</v>
      </c>
      <c r="K36" s="590"/>
    </row>
  </sheetData>
  <mergeCells count="12">
    <mergeCell ref="A32:B32"/>
    <mergeCell ref="I35:K35"/>
    <mergeCell ref="J36:K36"/>
    <mergeCell ref="E1:N1"/>
    <mergeCell ref="G33:N33"/>
    <mergeCell ref="A5:A6"/>
    <mergeCell ref="B5:B6"/>
    <mergeCell ref="C5:C6"/>
    <mergeCell ref="D5:N5"/>
    <mergeCell ref="A4:N4"/>
    <mergeCell ref="A31:B31"/>
    <mergeCell ref="A22:B22"/>
  </mergeCells>
  <printOptions/>
  <pageMargins left="0.3937007874015748" right="0.3937007874015748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D8" sqref="D8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748" t="s">
        <v>816</v>
      </c>
      <c r="D2" s="748"/>
      <c r="E2" s="121"/>
      <c r="F2" s="121"/>
    </row>
    <row r="3" spans="1:9" ht="15.75">
      <c r="A3" s="750" t="s">
        <v>568</v>
      </c>
      <c r="B3" s="750"/>
      <c r="C3" s="750"/>
      <c r="D3" s="750"/>
      <c r="E3" s="750"/>
      <c r="F3" s="750"/>
      <c r="G3" s="750"/>
      <c r="H3" s="750"/>
      <c r="I3" s="750"/>
    </row>
    <row r="4" spans="1:9" ht="15.75">
      <c r="A4" s="51"/>
      <c r="B4" s="51"/>
      <c r="C4" s="51"/>
      <c r="D4" s="51"/>
      <c r="E4" s="51"/>
      <c r="F4" s="51"/>
      <c r="G4" s="51"/>
      <c r="H4" s="51"/>
      <c r="I4" s="51"/>
    </row>
    <row r="5" ht="13.5" thickBot="1"/>
    <row r="6" spans="1:9" ht="24.75" customHeight="1">
      <c r="A6" s="755" t="s">
        <v>569</v>
      </c>
      <c r="B6" s="753" t="s">
        <v>570</v>
      </c>
      <c r="C6" s="751" t="s">
        <v>571</v>
      </c>
      <c r="D6" s="757" t="s">
        <v>591</v>
      </c>
      <c r="E6" s="79"/>
      <c r="F6" s="79"/>
      <c r="G6" s="749"/>
      <c r="H6" s="749"/>
      <c r="I6" s="749"/>
    </row>
    <row r="7" spans="1:9" ht="18.75" customHeight="1" thickBot="1">
      <c r="A7" s="756"/>
      <c r="B7" s="754"/>
      <c r="C7" s="752"/>
      <c r="D7" s="758"/>
      <c r="E7" s="79"/>
      <c r="F7" s="79"/>
      <c r="G7" s="749"/>
      <c r="H7" s="749"/>
      <c r="I7" s="749"/>
    </row>
    <row r="8" spans="1:6" ht="13.5" customHeight="1" thickBot="1">
      <c r="A8" s="52">
        <v>1</v>
      </c>
      <c r="B8" s="53">
        <v>2</v>
      </c>
      <c r="C8" s="54">
        <v>3</v>
      </c>
      <c r="D8" s="123">
        <v>5</v>
      </c>
      <c r="E8" s="122"/>
      <c r="F8" s="122"/>
    </row>
    <row r="9" spans="1:6" ht="18" customHeight="1" thickBot="1">
      <c r="A9" s="438" t="s">
        <v>573</v>
      </c>
      <c r="B9" s="439" t="s">
        <v>574</v>
      </c>
      <c r="C9" s="439"/>
      <c r="D9" s="440">
        <f>'Z1'!V207</f>
        <v>32973160</v>
      </c>
      <c r="E9" s="34"/>
      <c r="F9" s="34"/>
    </row>
    <row r="10" spans="1:6" ht="18" customHeight="1" thickBot="1">
      <c r="A10" s="431" t="s">
        <v>575</v>
      </c>
      <c r="B10" s="432" t="s">
        <v>576</v>
      </c>
      <c r="C10" s="432"/>
      <c r="D10" s="433">
        <f>'Z 2'!N557</f>
        <v>34892709</v>
      </c>
      <c r="E10" s="34"/>
      <c r="F10" s="34"/>
    </row>
    <row r="11" spans="1:6" ht="12.75">
      <c r="A11" s="57"/>
      <c r="B11" s="41" t="s">
        <v>577</v>
      </c>
      <c r="C11" s="33"/>
      <c r="D11" s="160">
        <f>D9-D10</f>
        <v>-1919549</v>
      </c>
      <c r="E11" s="34"/>
      <c r="F11" s="34"/>
    </row>
    <row r="12" spans="1:6" ht="15.75" customHeight="1" thickBot="1">
      <c r="A12" s="58"/>
      <c r="B12" s="59" t="s">
        <v>578</v>
      </c>
      <c r="C12" s="59"/>
      <c r="D12" s="161">
        <f>D13-D22</f>
        <v>1919549</v>
      </c>
      <c r="E12" s="34"/>
      <c r="F12" s="34"/>
    </row>
    <row r="13" spans="1:6" ht="15.75" customHeight="1" thickBot="1">
      <c r="A13" s="434" t="s">
        <v>579</v>
      </c>
      <c r="B13" s="435" t="s">
        <v>580</v>
      </c>
      <c r="C13" s="436"/>
      <c r="D13" s="437">
        <f>D14+D15+D16+D17+D18+D19+D20+D21</f>
        <v>5249240</v>
      </c>
      <c r="E13" s="77"/>
      <c r="F13" s="77"/>
    </row>
    <row r="14" spans="1:6" ht="12.75">
      <c r="A14" s="61" t="s">
        <v>581</v>
      </c>
      <c r="B14" s="41" t="s">
        <v>174</v>
      </c>
      <c r="C14" s="57" t="s">
        <v>696</v>
      </c>
      <c r="D14" s="160">
        <v>2757526</v>
      </c>
      <c r="E14" s="34"/>
      <c r="F14" s="34"/>
    </row>
    <row r="15" spans="1:6" ht="16.5" customHeight="1">
      <c r="A15" s="62" t="s">
        <v>582</v>
      </c>
      <c r="B15" s="7" t="s">
        <v>583</v>
      </c>
      <c r="C15" s="2" t="s">
        <v>696</v>
      </c>
      <c r="D15" s="162"/>
      <c r="E15" s="34"/>
      <c r="F15" s="34"/>
    </row>
    <row r="16" spans="1:6" ht="37.5" customHeight="1">
      <c r="A16" s="62" t="s">
        <v>584</v>
      </c>
      <c r="B16" s="8" t="s">
        <v>73</v>
      </c>
      <c r="C16" s="2" t="s">
        <v>45</v>
      </c>
      <c r="D16" s="162">
        <v>2451050</v>
      </c>
      <c r="E16" s="34"/>
      <c r="F16" s="34"/>
    </row>
    <row r="17" spans="1:6" ht="16.5" customHeight="1">
      <c r="A17" s="62" t="s">
        <v>586</v>
      </c>
      <c r="B17" s="7" t="s">
        <v>585</v>
      </c>
      <c r="C17" s="2" t="s">
        <v>697</v>
      </c>
      <c r="D17" s="162">
        <v>0</v>
      </c>
      <c r="E17" s="34"/>
      <c r="F17" s="34"/>
    </row>
    <row r="18" spans="1:6" ht="18" customHeight="1">
      <c r="A18" s="62" t="s">
        <v>588</v>
      </c>
      <c r="B18" s="7" t="s">
        <v>587</v>
      </c>
      <c r="C18" s="2" t="s">
        <v>698</v>
      </c>
      <c r="D18" s="162">
        <v>0</v>
      </c>
      <c r="E18" s="34"/>
      <c r="F18" s="34"/>
    </row>
    <row r="19" spans="1:6" ht="18.75" customHeight="1">
      <c r="A19" s="62" t="s">
        <v>621</v>
      </c>
      <c r="B19" s="8" t="s">
        <v>604</v>
      </c>
      <c r="C19" s="2" t="s">
        <v>699</v>
      </c>
      <c r="D19" s="162">
        <v>0</v>
      </c>
      <c r="E19" s="34"/>
      <c r="F19" s="34"/>
    </row>
    <row r="20" spans="1:6" ht="18.75" customHeight="1">
      <c r="A20" s="62" t="s">
        <v>623</v>
      </c>
      <c r="B20" s="8" t="s">
        <v>605</v>
      </c>
      <c r="C20" s="2" t="s">
        <v>700</v>
      </c>
      <c r="D20" s="162">
        <v>0</v>
      </c>
      <c r="E20" s="34"/>
      <c r="F20" s="34"/>
    </row>
    <row r="21" spans="1:6" ht="13.5" thickBot="1">
      <c r="A21" s="63" t="s">
        <v>606</v>
      </c>
      <c r="B21" s="64" t="s">
        <v>607</v>
      </c>
      <c r="C21" s="38" t="s">
        <v>697</v>
      </c>
      <c r="D21" s="161">
        <v>40664</v>
      </c>
      <c r="E21" s="34"/>
      <c r="F21" s="34"/>
    </row>
    <row r="22" spans="1:6" ht="15.75" customHeight="1" thickBot="1">
      <c r="A22" s="431" t="s">
        <v>608</v>
      </c>
      <c r="B22" s="441" t="s">
        <v>609</v>
      </c>
      <c r="C22" s="442"/>
      <c r="D22" s="443">
        <f>D23+D24+D25+D26+D27+D28+D29</f>
        <v>3329691</v>
      </c>
      <c r="E22" s="77"/>
      <c r="F22" s="77"/>
    </row>
    <row r="23" spans="1:6" ht="15.75" customHeight="1">
      <c r="A23" s="65" t="s">
        <v>581</v>
      </c>
      <c r="B23" s="66" t="s">
        <v>610</v>
      </c>
      <c r="C23" s="67" t="s">
        <v>701</v>
      </c>
      <c r="D23" s="163">
        <v>1406568</v>
      </c>
      <c r="E23" s="34"/>
      <c r="F23" s="34"/>
    </row>
    <row r="24" spans="1:6" ht="15.75" customHeight="1">
      <c r="A24" s="62" t="s">
        <v>582</v>
      </c>
      <c r="B24" s="7" t="s">
        <v>611</v>
      </c>
      <c r="C24" s="2" t="s">
        <v>702</v>
      </c>
      <c r="D24" s="162">
        <v>0</v>
      </c>
      <c r="E24" s="34"/>
      <c r="F24" s="34"/>
    </row>
    <row r="25" spans="1:6" ht="15.75" customHeight="1">
      <c r="A25" s="62" t="s">
        <v>584</v>
      </c>
      <c r="B25" s="7" t="s">
        <v>416</v>
      </c>
      <c r="C25" s="2" t="s">
        <v>701</v>
      </c>
      <c r="D25" s="162">
        <v>36000</v>
      </c>
      <c r="E25" s="34"/>
      <c r="F25" s="34"/>
    </row>
    <row r="26" spans="1:6" ht="39" customHeight="1">
      <c r="A26" s="62" t="s">
        <v>586</v>
      </c>
      <c r="B26" s="8" t="s">
        <v>29</v>
      </c>
      <c r="C26" s="2" t="s">
        <v>74</v>
      </c>
      <c r="D26" s="162">
        <v>1887123</v>
      </c>
      <c r="E26" s="34"/>
      <c r="F26" s="34"/>
    </row>
    <row r="27" spans="1:12" ht="15.75" customHeight="1">
      <c r="A27" s="62" t="s">
        <v>588</v>
      </c>
      <c r="B27" s="7" t="s">
        <v>612</v>
      </c>
      <c r="C27" s="2" t="s">
        <v>703</v>
      </c>
      <c r="D27" s="162">
        <v>0</v>
      </c>
      <c r="E27" s="34"/>
      <c r="F27" s="34"/>
      <c r="L27" s="34"/>
    </row>
    <row r="28" spans="1:6" ht="15.75" customHeight="1">
      <c r="A28" s="62" t="s">
        <v>621</v>
      </c>
      <c r="B28" s="7" t="s">
        <v>613</v>
      </c>
      <c r="C28" s="2" t="s">
        <v>704</v>
      </c>
      <c r="D28" s="162">
        <v>0</v>
      </c>
      <c r="E28" s="34"/>
      <c r="F28" s="34"/>
    </row>
    <row r="29" spans="1:6" ht="15.75" customHeight="1" thickBot="1">
      <c r="A29" s="37" t="s">
        <v>623</v>
      </c>
      <c r="B29" s="68" t="s">
        <v>614</v>
      </c>
      <c r="C29" s="69" t="s">
        <v>383</v>
      </c>
      <c r="D29" s="164">
        <v>0</v>
      </c>
      <c r="E29" s="34"/>
      <c r="F29" s="34"/>
    </row>
    <row r="30" spans="1:6" ht="24.75" customHeight="1">
      <c r="A30" s="130" t="s">
        <v>615</v>
      </c>
      <c r="B30" s="244" t="s">
        <v>387</v>
      </c>
      <c r="C30" s="131"/>
      <c r="D30" s="165">
        <f>D22</f>
        <v>3329691</v>
      </c>
      <c r="E30" s="34"/>
      <c r="F30" s="34"/>
    </row>
    <row r="31" spans="1:6" ht="24" customHeight="1">
      <c r="A31" s="63" t="s">
        <v>219</v>
      </c>
      <c r="B31" s="245" t="s">
        <v>223</v>
      </c>
      <c r="C31" s="38"/>
      <c r="D31" s="161">
        <f>D9-D30</f>
        <v>29643469</v>
      </c>
      <c r="E31" s="34"/>
      <c r="F31" s="34"/>
    </row>
    <row r="32" spans="1:6" ht="24.75" customHeight="1">
      <c r="A32" s="63" t="s">
        <v>224</v>
      </c>
      <c r="B32" s="245" t="s">
        <v>229</v>
      </c>
      <c r="C32" s="38"/>
      <c r="D32" s="161">
        <f>D10-D31</f>
        <v>5249240</v>
      </c>
      <c r="E32" s="34"/>
      <c r="F32" s="34"/>
    </row>
    <row r="33" spans="1:6" ht="40.5" customHeight="1" thickBot="1">
      <c r="A33" s="37" t="s">
        <v>160</v>
      </c>
      <c r="B33" s="246" t="s">
        <v>230</v>
      </c>
      <c r="C33" s="69"/>
      <c r="D33" s="164">
        <f>D13</f>
        <v>5249240</v>
      </c>
      <c r="E33" s="34"/>
      <c r="F33" s="34"/>
    </row>
    <row r="35" spans="3:4" ht="12.75">
      <c r="C35" s="590" t="s">
        <v>780</v>
      </c>
      <c r="D35" s="590"/>
    </row>
    <row r="37" spans="3:4" ht="14.25" customHeight="1">
      <c r="C37" s="590" t="s">
        <v>795</v>
      </c>
      <c r="D37" s="590"/>
    </row>
  </sheetData>
  <mergeCells count="9">
    <mergeCell ref="C37:D37"/>
    <mergeCell ref="C35:D35"/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41.875" style="0" customWidth="1"/>
    <col min="3" max="3" width="14.625" style="0" customWidth="1"/>
    <col min="4" max="4" width="17.875" style="0" customWidth="1"/>
    <col min="5" max="5" width="9.625" style="0" customWidth="1"/>
  </cols>
  <sheetData>
    <row r="1" spans="3:4" ht="45" customHeight="1">
      <c r="C1" s="659" t="s">
        <v>817</v>
      </c>
      <c r="D1" s="659"/>
    </row>
    <row r="2" spans="1:4" ht="77.25" customHeight="1">
      <c r="A2" s="759" t="s">
        <v>771</v>
      </c>
      <c r="B2" s="759"/>
      <c r="C2" s="759"/>
      <c r="D2" s="759"/>
    </row>
    <row r="3" spans="1:4" ht="24.75" customHeight="1">
      <c r="A3" s="490" t="s">
        <v>569</v>
      </c>
      <c r="B3" s="490" t="s">
        <v>753</v>
      </c>
      <c r="C3" s="490" t="s">
        <v>754</v>
      </c>
      <c r="D3" s="490" t="s">
        <v>755</v>
      </c>
    </row>
    <row r="4" spans="1:4" ht="12.75">
      <c r="A4" s="97">
        <v>1</v>
      </c>
      <c r="B4" s="97">
        <v>2</v>
      </c>
      <c r="C4" s="97">
        <v>4</v>
      </c>
      <c r="D4" s="97">
        <v>5</v>
      </c>
    </row>
    <row r="5" spans="1:5" ht="28.5" customHeight="1">
      <c r="A5" s="491" t="s">
        <v>581</v>
      </c>
      <c r="B5" s="3" t="s">
        <v>769</v>
      </c>
      <c r="C5" s="492"/>
      <c r="D5" s="493">
        <f>D6+D7</f>
        <v>114363</v>
      </c>
      <c r="E5" s="494"/>
    </row>
    <row r="6" spans="1:5" ht="17.25" customHeight="1">
      <c r="A6" s="495"/>
      <c r="B6" s="107" t="s">
        <v>756</v>
      </c>
      <c r="C6" s="108">
        <v>80120</v>
      </c>
      <c r="D6" s="399">
        <f>'Z 2'!N244</f>
        <v>57581</v>
      </c>
      <c r="E6" s="494"/>
    </row>
    <row r="7" spans="1:4" ht="25.5" customHeight="1">
      <c r="A7" s="495"/>
      <c r="B7" s="107" t="s">
        <v>757</v>
      </c>
      <c r="C7" s="108">
        <v>80130</v>
      </c>
      <c r="D7" s="399">
        <f>'Z 2'!N279</f>
        <v>56782</v>
      </c>
    </row>
    <row r="8" spans="1:4" ht="12.75" hidden="1">
      <c r="A8" s="495"/>
      <c r="B8" s="496" t="s">
        <v>758</v>
      </c>
      <c r="C8" s="497">
        <v>0</v>
      </c>
      <c r="D8" s="498">
        <v>0</v>
      </c>
    </row>
    <row r="9" spans="1:4" ht="24.75" customHeight="1">
      <c r="A9" s="499" t="s">
        <v>582</v>
      </c>
      <c r="B9" s="500" t="s">
        <v>770</v>
      </c>
      <c r="C9" s="501"/>
      <c r="D9" s="502">
        <f>D10+D11</f>
        <v>233656</v>
      </c>
    </row>
    <row r="10" spans="1:4" ht="18.75" customHeight="1">
      <c r="A10" s="495"/>
      <c r="B10" s="107" t="s">
        <v>759</v>
      </c>
      <c r="C10" s="108">
        <v>80120</v>
      </c>
      <c r="D10" s="399">
        <f>'Z 2'!N245</f>
        <v>198661</v>
      </c>
    </row>
    <row r="11" spans="1:4" ht="18.75" customHeight="1">
      <c r="A11" s="495"/>
      <c r="B11" s="107" t="s">
        <v>760</v>
      </c>
      <c r="C11" s="108">
        <v>80130</v>
      </c>
      <c r="D11" s="399">
        <f>'Z 2'!N280</f>
        <v>34995</v>
      </c>
    </row>
    <row r="12" spans="1:4" ht="12.75" hidden="1">
      <c r="A12" s="497" t="s">
        <v>586</v>
      </c>
      <c r="B12" s="398" t="s">
        <v>761</v>
      </c>
      <c r="C12" s="397"/>
      <c r="D12" s="400">
        <f>D13</f>
        <v>0</v>
      </c>
    </row>
    <row r="13" spans="1:4" ht="24" customHeight="1" hidden="1">
      <c r="A13" s="503"/>
      <c r="B13" s="496" t="s">
        <v>762</v>
      </c>
      <c r="C13" s="497">
        <v>0</v>
      </c>
      <c r="D13" s="498">
        <v>0</v>
      </c>
    </row>
    <row r="14" spans="1:5" ht="25.5" customHeight="1">
      <c r="A14" s="491" t="s">
        <v>584</v>
      </c>
      <c r="B14" s="504" t="s">
        <v>763</v>
      </c>
      <c r="C14" s="492"/>
      <c r="D14" s="493">
        <f>D15+D16+D17+D18</f>
        <v>701201</v>
      </c>
      <c r="E14" s="494"/>
    </row>
    <row r="15" spans="1:4" ht="12.75">
      <c r="A15" s="495"/>
      <c r="B15" s="505" t="s">
        <v>764</v>
      </c>
      <c r="C15" s="108">
        <v>80102</v>
      </c>
      <c r="D15" s="399">
        <f>'Z 2'!N210</f>
        <v>225291</v>
      </c>
    </row>
    <row r="16" spans="1:4" ht="12.75">
      <c r="A16" s="495"/>
      <c r="B16" s="505" t="s">
        <v>765</v>
      </c>
      <c r="C16" s="108">
        <v>80105</v>
      </c>
      <c r="D16" s="399">
        <f>'Z 2'!N212</f>
        <v>102892</v>
      </c>
    </row>
    <row r="17" spans="1:4" ht="12.75">
      <c r="A17" s="495"/>
      <c r="B17" s="505" t="s">
        <v>766</v>
      </c>
      <c r="C17" s="108">
        <v>80111</v>
      </c>
      <c r="D17" s="399">
        <f>'Z 2'!N223</f>
        <v>235222</v>
      </c>
    </row>
    <row r="18" spans="1:4" ht="23.25" thickBot="1">
      <c r="A18" s="503"/>
      <c r="B18" s="506" t="s">
        <v>767</v>
      </c>
      <c r="C18" s="497">
        <v>80134</v>
      </c>
      <c r="D18" s="498">
        <f>'Z 2'!N290</f>
        <v>137796</v>
      </c>
    </row>
    <row r="19" spans="1:4" ht="13.5" hidden="1" thickBot="1">
      <c r="A19" s="495"/>
      <c r="B19" s="507"/>
      <c r="C19" s="495"/>
      <c r="D19" s="508"/>
    </row>
    <row r="20" spans="1:4" ht="13.5" customHeight="1" thickBot="1">
      <c r="A20" s="509"/>
      <c r="B20" s="510" t="s">
        <v>768</v>
      </c>
      <c r="C20" s="511"/>
      <c r="D20" s="512">
        <f>D5+D9+D14</f>
        <v>1049220</v>
      </c>
    </row>
    <row r="21" spans="1:4" ht="12.75">
      <c r="A21" s="106"/>
      <c r="B21" s="106"/>
      <c r="C21" s="106"/>
      <c r="D21" s="513"/>
    </row>
    <row r="22" spans="1:4" ht="12.75">
      <c r="A22" s="106"/>
      <c r="B22" s="106"/>
      <c r="C22" s="106"/>
      <c r="D22" s="513"/>
    </row>
    <row r="23" spans="1:4" ht="16.5" customHeight="1">
      <c r="A23" s="106"/>
      <c r="B23" s="106"/>
      <c r="C23" s="73" t="s">
        <v>193</v>
      </c>
      <c r="D23" s="513"/>
    </row>
    <row r="24" ht="48" customHeight="1">
      <c r="D24" s="494"/>
    </row>
    <row r="25" ht="12.75">
      <c r="D25" s="494"/>
    </row>
    <row r="26" ht="12.75">
      <c r="D26" s="494"/>
    </row>
    <row r="27" ht="12.75">
      <c r="D27" s="494"/>
    </row>
    <row r="28" ht="12.75">
      <c r="D28" s="494"/>
    </row>
    <row r="29" ht="12.75">
      <c r="D29" s="494"/>
    </row>
    <row r="30" ht="12.75">
      <c r="D30" s="494"/>
    </row>
    <row r="31" ht="12.75">
      <c r="D31" s="494"/>
    </row>
    <row r="32" ht="12.75">
      <c r="D32" s="494"/>
    </row>
    <row r="33" ht="12.75">
      <c r="D33" s="494"/>
    </row>
  </sheetData>
  <mergeCells count="2">
    <mergeCell ref="C1:D1"/>
    <mergeCell ref="A2:D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2006-12-29T06:51:28Z</cp:lastPrinted>
  <dcterms:created xsi:type="dcterms:W3CDTF">2002-03-22T09:59:04Z</dcterms:created>
  <dcterms:modified xsi:type="dcterms:W3CDTF">2007-01-02T07:12:00Z</dcterms:modified>
  <cp:category/>
  <cp:version/>
  <cp:contentType/>
  <cp:contentStatus/>
</cp:coreProperties>
</file>