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6090" tabRatio="599" activeTab="8"/>
  </bookViews>
  <sheets>
    <sheet name="Z1" sheetId="1" r:id="rId1"/>
    <sheet name="Z 2" sheetId="2" r:id="rId2"/>
    <sheet name="Z 3 " sheetId="3" r:id="rId3"/>
    <sheet name="Z 4 " sheetId="4" r:id="rId4"/>
    <sheet name="Z 5 " sheetId="5" r:id="rId5"/>
    <sheet name="z6" sheetId="6" r:id="rId6"/>
    <sheet name="z7" sheetId="7" r:id="rId7"/>
    <sheet name="z8" sheetId="8" r:id="rId8"/>
    <sheet name="Z9" sheetId="9" r:id="rId9"/>
  </sheets>
  <definedNames>
    <definedName name="_xlnm.Print_Area" localSheetId="1">'Z 2'!$A$1:$Q$517</definedName>
    <definedName name="_xlnm.Print_Area" localSheetId="2">'Z 3 '!$A$1:$G$146</definedName>
    <definedName name="_xlnm.Print_Area" localSheetId="4">'Z 5 '!$A$1:$F$92</definedName>
    <definedName name="_xlnm.Print_Area" localSheetId="0">'Z1'!$A$1:$V$193</definedName>
    <definedName name="_xlnm.Print_Area" localSheetId="7">'z8'!$A$1:$D$37</definedName>
    <definedName name="_xlnm.Print_Titles" localSheetId="1">'Z 2'!$4:$8</definedName>
  </definedNames>
  <calcPr fullCalcOnLoad="1"/>
</workbook>
</file>

<file path=xl/sharedStrings.xml><?xml version="1.0" encoding="utf-8"?>
<sst xmlns="http://schemas.openxmlformats.org/spreadsheetml/2006/main" count="2050" uniqueCount="778">
  <si>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</si>
  <si>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</si>
  <si>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</si>
  <si>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</si>
  <si>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</si>
  <si>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</si>
  <si>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</si>
  <si>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</si>
  <si>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</si>
  <si>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PFRON</t>
  </si>
  <si>
    <t>Edukacyjna opieka wychowawcza</t>
  </si>
  <si>
    <t xml:space="preserve">                                                                                           Przewodniczący Rady Powiatu</t>
  </si>
  <si>
    <t xml:space="preserve">                                                 Wacław Sapieha</t>
  </si>
  <si>
    <t>Leśnictwo</t>
  </si>
  <si>
    <t>Działalność usługowa</t>
  </si>
  <si>
    <t>Skł.na ubezp.zdrow.dla os.nie obj.obow.ubezp.</t>
  </si>
  <si>
    <t>nagr.i wydatki nie zal.do wynagr.</t>
  </si>
  <si>
    <t>Wypłaty z tyt. poręczeń i gwarancji</t>
  </si>
  <si>
    <t>Przebudowa wejścia głównego oraz zakup i montaż platformy do przewozu osób niepełnosprawnych ( rok 2006)</t>
  </si>
  <si>
    <t>Łączne nakłady finansowe (6+7+12+13)</t>
  </si>
  <si>
    <t>Spłaty pożyczek otrzymanych na finansowanie zadań realizowanych z udziałem środków pochodzących z budżetu UE</t>
  </si>
  <si>
    <t>Dochody i wydatki związane z realizacją zadań wspólnych realizowanych w drodze umów (porozumień)                 z jednostkami samorządu terytorialnego</t>
  </si>
  <si>
    <t xml:space="preserve">                                 Wydatki inwestycyjne powiatu w roku budżetowym 2006 oraz wydatki  na wieloletnie programy inwestycyjne w latach 2006 - 2008                                                                                               </t>
  </si>
  <si>
    <t>rok budżetowy 2006 (7+8+9+10+11)</t>
  </si>
  <si>
    <t>środki pochodzące z innych źródeł</t>
  </si>
  <si>
    <t>2008r.</t>
  </si>
  <si>
    <t>Realizacja zad.inwest."Mazurskie Centrum Edukacji i Inicjatyw Lokalnych" (lata: 2005-2006)</t>
  </si>
  <si>
    <t>Opracowanie dokumentacji na ulice powiatowe miasta Olecko ( rok 2006)</t>
  </si>
  <si>
    <t>Środki wymienione w art..3 ust.1pkt 2 i 2a u.f.p</t>
  </si>
  <si>
    <t>Zakup programów komputerowych                      (rok 2006)</t>
  </si>
  <si>
    <t>Wacław Sapieha</t>
  </si>
  <si>
    <t>DPS w Kowalach Oleckich</t>
  </si>
  <si>
    <t>Plan po zmianach</t>
  </si>
  <si>
    <t>zwiększenie /+/</t>
  </si>
  <si>
    <t>zmniejszenie   /-/</t>
  </si>
  <si>
    <t>Wydatki inwestycyjne jednostek budżetowych</t>
  </si>
  <si>
    <t>01008</t>
  </si>
  <si>
    <t>2350</t>
  </si>
  <si>
    <t>Melioracje wodne</t>
  </si>
  <si>
    <t>§ 903</t>
  </si>
  <si>
    <t>UMOWY</t>
  </si>
  <si>
    <t>POROZUMIENIA</t>
  </si>
  <si>
    <t>RAZEM UMOWY I POROZUMIENIA</t>
  </si>
  <si>
    <t>Sprzedaż składników majątkowych</t>
  </si>
  <si>
    <t>Dotacje celowe otrzymane przez j.s.t. od innej j.s.t. będącej instytucją wdrażającą na zadania bieżące realizowane na podstawie porozumień - umów</t>
  </si>
  <si>
    <t>85395</t>
  </si>
  <si>
    <t>4018</t>
  </si>
  <si>
    <t>4019</t>
  </si>
  <si>
    <t>4118</t>
  </si>
  <si>
    <t>4119</t>
  </si>
  <si>
    <t>4128</t>
  </si>
  <si>
    <t>4129</t>
  </si>
  <si>
    <t>3118</t>
  </si>
  <si>
    <t>3119</t>
  </si>
  <si>
    <t>4248</t>
  </si>
  <si>
    <t>4249</t>
  </si>
  <si>
    <t>Wynagrodzenia osobowe</t>
  </si>
  <si>
    <t>Składki na ubezpieczenie społeczne</t>
  </si>
  <si>
    <t>Składki na Fundusz Pracy</t>
  </si>
  <si>
    <r>
      <t xml:space="preserve">            </t>
    </r>
    <r>
      <rPr>
        <b/>
        <u val="single"/>
        <sz val="14"/>
        <rFont val="Arial CE"/>
        <family val="0"/>
      </rPr>
      <t xml:space="preserve"> PLAN DOCHODÓW BUDŻETU POWIATU NA ROK 2006</t>
    </r>
  </si>
  <si>
    <t>Plan  2006</t>
  </si>
  <si>
    <t>dotacje celowe otrzymane z gmin na inwestycje</t>
  </si>
  <si>
    <t>Skł. na ubezp. zdrow.osób nie obj. obow.ubezp.zdrow.</t>
  </si>
  <si>
    <t>Przebudowa i modernizacja Szpitala Powiatowego w Olecku (k.ogrzewania) (lata: 1986-2008)</t>
  </si>
  <si>
    <t>dotacja celowa otrzymana przez j.s.t. od innej j.s.t. będącej instytucją wdrażającą na zadania bieżące realizowane na podstawie porozumień i umów</t>
  </si>
  <si>
    <t>6649</t>
  </si>
  <si>
    <t>Dotacje celowe przekazane j.s.t. przez inną j.s.t. będącą instytucją wdrażającą na inwestycje i zakupy inwestycyjne realizowane na pdst.porozumień i umów</t>
  </si>
  <si>
    <t>pozostałe wydatki majątkowe (§§ 6150,6610,6649)</t>
  </si>
  <si>
    <t>Pożyczki na finansowanie zadań realizowanych z udziałem środków pochodzących z budżetu UE</t>
  </si>
  <si>
    <t>§ 963</t>
  </si>
  <si>
    <t>Powiat augustowski</t>
  </si>
  <si>
    <t xml:space="preserve">Gmina Świętajno          </t>
  </si>
  <si>
    <t>Gmina Kowale Oleckie</t>
  </si>
  <si>
    <t>Powiat Gołdap</t>
  </si>
  <si>
    <t>Powiat Węgorzewo</t>
  </si>
  <si>
    <t>Powiat Suwałki</t>
  </si>
  <si>
    <t>Powiat Ełk</t>
  </si>
  <si>
    <t>Powiat Sejny</t>
  </si>
  <si>
    <t xml:space="preserve">Powiat Bartoszyce </t>
  </si>
  <si>
    <t>Powiat Grajewo</t>
  </si>
  <si>
    <t>część wyrównawcza subwencji ogólnej dla powiatów</t>
  </si>
  <si>
    <t>DOCHODY OGÓŁEM</t>
  </si>
  <si>
    <t>1. Dotacje celowe</t>
  </si>
  <si>
    <t>/+/ zwiększenia</t>
  </si>
  <si>
    <t xml:space="preserve"> /-/ zmniejszenia</t>
  </si>
  <si>
    <t>Zmiana planu</t>
  </si>
  <si>
    <t>zmiana planu</t>
  </si>
  <si>
    <t>096</t>
  </si>
  <si>
    <t>Spadki, zapisy i darowizny w formie pieniężnej</t>
  </si>
  <si>
    <t>DOTACJE Z BUDŻETU PAŃSTWA NA REALIZACJĘ ZADAŃ WŁASNYCH POWIATU</t>
  </si>
  <si>
    <t>Nagrody i wyd.nie zal.do wynagr.</t>
  </si>
  <si>
    <t>Zakup leków i mater.medycznych</t>
  </si>
  <si>
    <t>4170</t>
  </si>
  <si>
    <t>dotacje celowe z zakresu administracji rządowej</t>
  </si>
  <si>
    <t>część oświatowa subwencji ogólnej dla jst</t>
  </si>
  <si>
    <t>pomoc materialna dla studentów</t>
  </si>
  <si>
    <t>dotacje celowe na zadania z zakresu administracji rządowej</t>
  </si>
  <si>
    <t>13.</t>
  </si>
  <si>
    <t xml:space="preserve">dotacje celowe otrzymane z powiatów na zadania bieżące </t>
  </si>
  <si>
    <t>dotacje celowe na zadania własne powiatu</t>
  </si>
  <si>
    <t>15.</t>
  </si>
  <si>
    <t>Pomoc materialna dla uczniów</t>
  </si>
  <si>
    <t>16.</t>
  </si>
  <si>
    <t>Gospodarka komunalna i ochrona środowiska</t>
  </si>
  <si>
    <t>17.</t>
  </si>
  <si>
    <t xml:space="preserve">2. Dochody własne </t>
  </si>
  <si>
    <t>Wynagrodzenia bezosobowe</t>
  </si>
  <si>
    <t>4350</t>
  </si>
  <si>
    <t>Opłaty za usługi internetowe</t>
  </si>
  <si>
    <t>OGÓŁEM DOTACJE NA ZADANIA WŁASNE</t>
  </si>
  <si>
    <t>Wyszczególnienie</t>
  </si>
  <si>
    <t>Przychody</t>
  </si>
  <si>
    <t>6439</t>
  </si>
  <si>
    <t>6291</t>
  </si>
  <si>
    <t>01022</t>
  </si>
  <si>
    <t>Zwalczanie chorób zakaźnych zwierząt</t>
  </si>
  <si>
    <t>3250</t>
  </si>
  <si>
    <t>4610</t>
  </si>
  <si>
    <t>Gospodarka leśna</t>
  </si>
  <si>
    <t>02001</t>
  </si>
  <si>
    <t xml:space="preserve">                                                                          </t>
  </si>
  <si>
    <t>Plan  2003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</si>
  <si>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</si>
  <si>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</si>
  <si>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</si>
  <si>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</si>
  <si>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</si>
  <si>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</si>
  <si>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</si>
  <si>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</si>
  <si>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</si>
  <si>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</si>
  <si>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</si>
  <si>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</si>
  <si>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>Zakup leków i środków medycznych</t>
  </si>
  <si>
    <t xml:space="preserve"> </t>
  </si>
  <si>
    <t xml:space="preserve">- w ramach porozumień (umów) z j.s.t </t>
  </si>
  <si>
    <t>- pozostałe dotacje ( z f.cel.) i środki z innych źródeł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</si>
  <si>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</si>
  <si>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</si>
  <si>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</si>
  <si>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</si>
  <si>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Dochody i wydatki związane z realizacją zadań z zakresu administracji rządowej zleconych powiatowi i innych zadań zleconych ustawami</t>
  </si>
  <si>
    <t>Równiważniki i ekwiwalenty</t>
  </si>
  <si>
    <t xml:space="preserve"> Gmina Kowale Oleckie</t>
  </si>
  <si>
    <t xml:space="preserve"> Gmina Olecko</t>
  </si>
  <si>
    <t xml:space="preserve"> Gmina Świętajno</t>
  </si>
  <si>
    <t xml:space="preserve"> Wieliczki</t>
  </si>
  <si>
    <t xml:space="preserve"> Powiat ełcki</t>
  </si>
  <si>
    <t>Gmina Wieliczki</t>
  </si>
  <si>
    <t>Gmina Świętajno</t>
  </si>
  <si>
    <t xml:space="preserve">Gmina Olecko  (biblioteka)        </t>
  </si>
  <si>
    <t>Miasto Suwałki</t>
  </si>
  <si>
    <t>Powiat suwalski</t>
  </si>
  <si>
    <t>Powiat gołdapski</t>
  </si>
  <si>
    <t xml:space="preserve">Gmina Olecko          </t>
  </si>
  <si>
    <t>Dotacja dla samorządu województwa</t>
  </si>
  <si>
    <t>Schroniska  młodzieżowe</t>
  </si>
  <si>
    <t>VIII.</t>
  </si>
  <si>
    <t>dotacje cel.przekaz.gminie na podst.porozumień z jst</t>
  </si>
  <si>
    <t>Urzędy marszałkowskie</t>
  </si>
  <si>
    <t>wydatki inwestycyjne jednostek budżetowych</t>
  </si>
  <si>
    <t>Wydatki inwestycyjne</t>
  </si>
  <si>
    <t>Wydatki na zakupy inwestycyjne</t>
  </si>
  <si>
    <t>Wynagr. osobowe pracowników</t>
  </si>
  <si>
    <t>Wynagr. os. czł. korp. sł. cywiln.</t>
  </si>
  <si>
    <t xml:space="preserve"> - Urząd Marszałkowski w Olsztynie</t>
  </si>
  <si>
    <t>4580</t>
  </si>
  <si>
    <t>kary i odszkod.na rzecz os.fiz.</t>
  </si>
  <si>
    <t>Zespół Szkół Technicznych          w Olecku</t>
  </si>
  <si>
    <t xml:space="preserve">dochody z najmu i dzierżawy składników majątkowych </t>
  </si>
  <si>
    <t xml:space="preserve">środki na finan. własnych inwest. pozysk.z innych źródeł </t>
  </si>
  <si>
    <t>środki na finansowanie własnych inwest.pozysk. z innych źródeł</t>
  </si>
  <si>
    <t>- na zadania zlecone (§ 2110 i § 2120)</t>
  </si>
  <si>
    <t>Wydatki inwest.jedn.budżetowych</t>
  </si>
  <si>
    <t>Kredyty zaciągane w bankach krajowych</t>
  </si>
  <si>
    <t>Przewodniczący Rady Powiatu: Wacław Sapieha</t>
  </si>
  <si>
    <t>11.</t>
  </si>
  <si>
    <t>6300</t>
  </si>
  <si>
    <t>Biblioteki pedagogiczne</t>
  </si>
  <si>
    <t>80147</t>
  </si>
  <si>
    <t>4600</t>
  </si>
  <si>
    <t>Kary i odszkodowania wypłacone na rzecz osób prawnych i innych jednostek organizacyjnych</t>
  </si>
  <si>
    <t xml:space="preserve">  Kwoty długu na koniec roku w poszczególnych latach</t>
  </si>
  <si>
    <t>Spłata  pożyczek  zaciągniętych  w latach poprzednich</t>
  </si>
  <si>
    <t>Dot.podmiot z budż. dla szkół niepub. (Centr.Ed. Spec.przy Środ.D.S.w Olecku")</t>
  </si>
  <si>
    <t>80123</t>
  </si>
  <si>
    <t>Licea profilowane</t>
  </si>
  <si>
    <t>Drogi publiczne powiatowe</t>
  </si>
  <si>
    <t xml:space="preserve"> - Gmina Olecko</t>
  </si>
  <si>
    <t xml:space="preserve"> - Gmina Świętajno</t>
  </si>
  <si>
    <t>4420</t>
  </si>
  <si>
    <t>Podróże służbowe zagraniczne</t>
  </si>
  <si>
    <t>Opracowania geodez. i kartogr.</t>
  </si>
  <si>
    <t>Przewodniczący Rady Powiatu</t>
  </si>
  <si>
    <t>2007r.</t>
  </si>
  <si>
    <t>zwiększenia /+/</t>
  </si>
  <si>
    <t>zmniejszenia /-/</t>
  </si>
  <si>
    <t>3240</t>
  </si>
  <si>
    <t>Przewodniczący Rady: Wacław Sapieha</t>
  </si>
  <si>
    <t>dot. podmiot. z budż. dla SP ZOZ</t>
  </si>
  <si>
    <t xml:space="preserve">    dotacje (§ § 2310, 2320,2330, 2540,  2560, 2610,2820,2830, 2950)</t>
  </si>
  <si>
    <t>plan 2003</t>
  </si>
  <si>
    <t xml:space="preserve">odsetki  od kraj. poż. i kredyt. </t>
  </si>
  <si>
    <t>WYSZCZEGÓLNIENIE</t>
  </si>
  <si>
    <t>Dział, rozdz.</t>
  </si>
  <si>
    <t>§</t>
  </si>
  <si>
    <t>wyszczególnienie nazwa działu,rozdz.</t>
  </si>
  <si>
    <t>przewid. wykon.w 2000</t>
  </si>
  <si>
    <t>Plan 2001</t>
  </si>
  <si>
    <t>Zwieksze -nia (+)</t>
  </si>
  <si>
    <t>zmniejsze-nia (-)</t>
  </si>
  <si>
    <t>w tym</t>
  </si>
  <si>
    <t>zad.z zakresu admin.rząd.</t>
  </si>
  <si>
    <t>porozum.i umowy</t>
  </si>
  <si>
    <t>010</t>
  </si>
  <si>
    <t>część równoważąca subwencji ogólnej dla powiatów</t>
  </si>
  <si>
    <t>ROLNICTWO I ŁOWIECTWO</t>
  </si>
  <si>
    <t>01021</t>
  </si>
  <si>
    <t>Inspekcja Weterynaryjna</t>
  </si>
  <si>
    <t>3020</t>
  </si>
  <si>
    <t>VI.</t>
  </si>
  <si>
    <t xml:space="preserve">  </t>
  </si>
  <si>
    <t>Dotacje dla gmin</t>
  </si>
  <si>
    <t>Zakup usług pozostałych`</t>
  </si>
  <si>
    <t>Dochody przeznaczone na pokrycie wydatków (I-V)</t>
  </si>
  <si>
    <t>VII.</t>
  </si>
  <si>
    <t xml:space="preserve">                                                                  Przewodniczący Rady Powiatu: Wacław Sapieha</t>
  </si>
  <si>
    <t>dotacje celowe na zad. własne powiatu</t>
  </si>
  <si>
    <t>dotacje cel. na zad. własne powiatu</t>
  </si>
  <si>
    <t>doch. z najmu i dzierżawy składn. mająt.</t>
  </si>
  <si>
    <t>dot.na real.zad.bież.jed.sekt.finan.publicz.</t>
  </si>
  <si>
    <t>Wydatki nie znajdujące pokrycia w planowanych dochodach (II-VI)</t>
  </si>
  <si>
    <t>Na pokrycie wydatków nie znajdujących pokrycia w  planowanych dochodach planuje się przychody (III)</t>
  </si>
  <si>
    <t>Wyd. os.nie zalicz.do wynagr.</t>
  </si>
  <si>
    <t>3030</t>
  </si>
  <si>
    <t>Różne wydatki narzecz os.fiz.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</si>
  <si>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</si>
  <si>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</si>
  <si>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</si>
  <si>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</si>
  <si>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</si>
  <si>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</si>
  <si>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 xml:space="preserve">4110  </t>
  </si>
  <si>
    <t>Składki na ubez.społecz.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</si>
  <si>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</si>
  <si>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</si>
  <si>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</si>
  <si>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</si>
  <si>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</si>
  <si>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</si>
  <si>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</si>
  <si>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</si>
  <si>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</si>
  <si>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</si>
  <si>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</si>
  <si>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</si>
  <si>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</si>
  <si>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</si>
  <si>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</si>
  <si>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</si>
  <si>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</si>
  <si>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</si>
  <si>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</si>
  <si>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</si>
  <si>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</si>
  <si>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</si>
  <si>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</si>
  <si>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</si>
  <si>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</si>
  <si>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</si>
  <si>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</si>
  <si>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</si>
  <si>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</si>
  <si>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</si>
  <si>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</si>
  <si>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</si>
  <si>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</si>
  <si>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</si>
  <si>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6060</t>
  </si>
  <si>
    <t>700</t>
  </si>
  <si>
    <t>GOSPODARKA MIESZKANIOWA ORAZ NIEMAT.USŁUGI KOMUNAL.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</si>
  <si>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</si>
  <si>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</si>
  <si>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</si>
  <si>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</si>
  <si>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</si>
  <si>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</si>
  <si>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Powiat ełcki</t>
  </si>
  <si>
    <t>Przebudowa budynku Warsztatów Szkolnych ZST na potrzeby Powiatowego Urząd Pracy i Warmińsko-Mazurskiej Biblioteki Pedagogicznej w Olsztynie Filia w Olecku (rok 2006)</t>
  </si>
  <si>
    <t>Przebudowa odcinka drogi powiatowej nr 1830N Nieźwiedzki-Wilkasy-Sobole w km 2+930 - km  3+ 400, dł. 0,470 km (rok 2006)</t>
  </si>
  <si>
    <t>Zakup rembarki (rok 2006)</t>
  </si>
  <si>
    <t xml:space="preserve">Zakup kserokopiarki i centrali telefonicznej           (rok 2006)                                     </t>
  </si>
  <si>
    <t>Wyposażenie infrastruktury socjalno-bytowej na terenie internatu (rok 2006)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</si>
  <si>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</si>
  <si>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</si>
  <si>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</si>
  <si>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</si>
  <si>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</si>
  <si>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</si>
  <si>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</si>
  <si>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</si>
  <si>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</si>
  <si>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</si>
  <si>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</si>
  <si>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</si>
  <si>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</si>
  <si>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</si>
  <si>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</si>
  <si>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</si>
  <si>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</si>
  <si>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</si>
  <si>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</si>
  <si>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</si>
  <si>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</si>
  <si>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</si>
  <si>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</si>
  <si>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</si>
  <si>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75405</t>
  </si>
  <si>
    <t>4500</t>
  </si>
  <si>
    <t>4280</t>
  </si>
  <si>
    <t>Zakup usług zdrowotnych</t>
  </si>
  <si>
    <t>Placówki opiekuńczo-wychowawcze</t>
  </si>
  <si>
    <t>Dotacje celowe otrzymane z samorządu województwa na inwestycje i zakupy inwestycyjne realizowane na podstawie z j.s.t.</t>
  </si>
  <si>
    <t xml:space="preserve">Komendy Powiatowe Państwowej Straży Pożarnej </t>
  </si>
  <si>
    <t>Wacław  Sapieha</t>
  </si>
  <si>
    <t>2130</t>
  </si>
  <si>
    <t>Placówki Opiekuńczo-wychowawcze</t>
  </si>
  <si>
    <t>Likwidacja barier architektonicznych i wyposażenie infrastruktury socjalno-bytowej internatu       (lata 2005-2006)</t>
  </si>
  <si>
    <t>Fundusz Ochrony Gruntów Rolnych</t>
  </si>
  <si>
    <t>01028</t>
  </si>
  <si>
    <t>dotacje celowe na finansowanie inwestycji jedn.sekt.fin.publ.</t>
  </si>
  <si>
    <t>6410</t>
  </si>
  <si>
    <t>Dotacje celowe z budżetu państwa na inwestycje realizowane przez powiat</t>
  </si>
  <si>
    <t>e)</t>
  </si>
  <si>
    <t>uzupełnienie subwencji ogólnej dla powiatów</t>
  </si>
  <si>
    <t>2780</t>
  </si>
  <si>
    <t>środki na inwestycje rozpoczęte przed dniem 01.01.1999r.</t>
  </si>
  <si>
    <t>Zespół Szkół Licealnych                   i Zawodowych w Olecku</t>
  </si>
  <si>
    <t>Starostwo Powiatowe                             w Olecku</t>
  </si>
  <si>
    <t>Powiatowy Urząd Pracy                                   w Olecku</t>
  </si>
  <si>
    <t>Starostwo Powiatowe                                 w Olecku</t>
  </si>
  <si>
    <t>Starostwo Powiatowe                                  w Olecku</t>
  </si>
  <si>
    <t>Komenda Powiatowa Państwowej Straży Pożarnej                    w Olecku</t>
  </si>
  <si>
    <t>Powiatowy Zarząd Dróg                                      w Olecku</t>
  </si>
  <si>
    <t>Powiatowy Zarząd Dróg                                  w Olecku</t>
  </si>
  <si>
    <t>Powiatowy Zarząd Dróg                             w Olecku</t>
  </si>
  <si>
    <t>Powiatowy Zarząd Dróg                              w Olecku</t>
  </si>
  <si>
    <t>Wyposażenia bazy dydaktycznej                                                          i rehabilitacyjnej  (lata 2005-2006)</t>
  </si>
  <si>
    <t>Kredyty inwestycyjne zaciągnięte w roku budżetowym na budowę dróg</t>
  </si>
  <si>
    <r>
      <t>Spłata pożyczek zaciągniętych na prefinansowanie wydatków</t>
    </r>
    <r>
      <rPr>
        <b/>
        <sz val="7"/>
        <rFont val="Arial CE"/>
        <family val="2"/>
      </rPr>
      <t>*</t>
    </r>
  </si>
  <si>
    <t xml:space="preserve">Spłata kredytów obrotowych zaciągniętych w  roku budżetowym </t>
  </si>
  <si>
    <t xml:space="preserve">Spłata kredytów inwertycyjnych zaciągniętych w  roku budżetowym </t>
  </si>
  <si>
    <t>Pozostałe podatki na rzecz j.s.t.</t>
  </si>
  <si>
    <t>Pozostałe podatki na rzecz jst</t>
  </si>
  <si>
    <t>Komendy Powiatowe Policji</t>
  </si>
  <si>
    <t>Wyn.osobowe korpusu służby cywilnej</t>
  </si>
  <si>
    <t>4050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</si>
  <si>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</si>
  <si>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</si>
  <si>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</si>
  <si>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</si>
  <si>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</si>
  <si>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4080</t>
  </si>
  <si>
    <t>4220</t>
  </si>
  <si>
    <t>Zakup środków żywności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</si>
  <si>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</si>
  <si>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</si>
  <si>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</si>
  <si>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</si>
  <si>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</si>
  <si>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</si>
  <si>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</si>
  <si>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</si>
  <si>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</si>
  <si>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</si>
  <si>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</si>
  <si>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</si>
  <si>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</si>
  <si>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</si>
  <si>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</si>
  <si>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</si>
  <si>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</si>
  <si>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</si>
  <si>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</si>
  <si>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</si>
  <si>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</si>
  <si>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</si>
  <si>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</si>
  <si>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</si>
  <si>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</si>
  <si>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</si>
  <si>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</si>
  <si>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</si>
  <si>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</si>
  <si>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</si>
  <si>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</si>
  <si>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801</t>
  </si>
  <si>
    <t>OŚWIATA I WYCHOWANIE</t>
  </si>
  <si>
    <t>80102</t>
  </si>
  <si>
    <t>Szkoły podstawowe specjalne</t>
  </si>
  <si>
    <t>§ 9950</t>
  </si>
  <si>
    <t>Odpis na zakładowy fundusz świadczeń socjalnych</t>
  </si>
  <si>
    <t>Dotacje celowe z budżetu na dofinansinansowanie zadań zleconych do realizacji stowarzyszeniom</t>
  </si>
  <si>
    <t>Wykonanie na 31.12.2005</t>
  </si>
  <si>
    <t>Z dochodów przeznacza się na spłatę kredytów i pożyczek (IV)</t>
  </si>
  <si>
    <t>Zakup mater. i wyposażenia</t>
  </si>
  <si>
    <t>4240</t>
  </si>
  <si>
    <t>zakup pomocy dydakt.i książek</t>
  </si>
  <si>
    <t>Wydatki rzeczowe</t>
  </si>
  <si>
    <t>2540</t>
  </si>
  <si>
    <t>80111</t>
  </si>
  <si>
    <t>Urząd Marszałkowski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</si>
  <si>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</si>
  <si>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</si>
  <si>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</si>
  <si>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</si>
  <si>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</si>
  <si>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</si>
  <si>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wpłaty na PFRON</t>
  </si>
  <si>
    <t xml:space="preserve">dot. podmiot. z budż. dla szkół niepublicznych:  </t>
  </si>
  <si>
    <t>ZDZ Białystok</t>
  </si>
  <si>
    <t>Cent.eduk.Rozw.Zaw.Olecko</t>
  </si>
  <si>
    <t>wydatki inwest. jednost. budżet.</t>
  </si>
  <si>
    <t>80130</t>
  </si>
  <si>
    <t>Szkoły zawodowe</t>
  </si>
  <si>
    <t>Nagr.i wydat.nie zalicz.do wynagr.</t>
  </si>
  <si>
    <t>Składki PFRON</t>
  </si>
  <si>
    <t xml:space="preserve">Dot.podmiot z budż. dla szkół niepub.  </t>
  </si>
  <si>
    <t>2110</t>
  </si>
  <si>
    <t>różne opłaty i składki</t>
  </si>
  <si>
    <t>80134</t>
  </si>
  <si>
    <t>Szkoły zawodowe specjalne</t>
  </si>
  <si>
    <t>2320</t>
  </si>
  <si>
    <t>Spłaty pożyczek (WFOŚiGW)</t>
  </si>
  <si>
    <t>80145</t>
  </si>
  <si>
    <t>Obrona cywilna</t>
  </si>
  <si>
    <t xml:space="preserve">kredyty bankowe i pożyczki </t>
  </si>
  <si>
    <t>Komisje egzaminacyjne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</si>
  <si>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</si>
  <si>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</si>
  <si>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</si>
  <si>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</si>
  <si>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</si>
  <si>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</si>
  <si>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</si>
  <si>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2560</t>
  </si>
  <si>
    <t>Nagr.i wydat.nie zal.do wynagr.</t>
  </si>
  <si>
    <t>85156</t>
  </si>
  <si>
    <t>4130</t>
  </si>
  <si>
    <t>Składki na ubezp.zdrow.</t>
  </si>
  <si>
    <t>853</t>
  </si>
  <si>
    <t>Plac. opiekuń - wychowaw.</t>
  </si>
  <si>
    <t>Fundusz Ochrony Środowiska i Gospodarki Wodnej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</si>
  <si>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</si>
  <si>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</si>
  <si>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</si>
  <si>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</si>
  <si>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</si>
  <si>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</si>
  <si>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</si>
  <si>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</si>
  <si>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85318</t>
  </si>
  <si>
    <t>Powiatowe Centrum Pomocy Rodzinie</t>
  </si>
  <si>
    <t>85324</t>
  </si>
  <si>
    <t>Składki na ubezp. społeczne</t>
  </si>
  <si>
    <t>"Przebudowa drogi powiatowej nr 40454Olecko-Świętajno-Dunajek km 7+350 do km 13+000 dł. 5,65 km" w ramach ZPORR (lata 2005-2007)**</t>
  </si>
  <si>
    <t>"Budowa drogi powiatowej nr 40491 Krupin-Wojnasy, etap I przez wieś Markowskie długości 951 m" w ramach ZPORR (lata: 2005-2006) *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</si>
  <si>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</si>
  <si>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</si>
  <si>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</si>
  <si>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</si>
  <si>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</si>
  <si>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</si>
  <si>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</si>
  <si>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4590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</si>
  <si>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</si>
  <si>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</si>
  <si>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</si>
  <si>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</si>
  <si>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</si>
  <si>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</si>
  <si>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</si>
  <si>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</si>
  <si>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dot. cel. przek.  na zad. bież real. na podst.por.między j.s.t.</t>
  </si>
  <si>
    <t>85495</t>
  </si>
  <si>
    <t>921</t>
  </si>
  <si>
    <t>KULTURA I OCHRONA DZIEDZICTWA NAROD.</t>
  </si>
  <si>
    <t>92116</t>
  </si>
  <si>
    <t>Biblioteki</t>
  </si>
  <si>
    <t>dot. cel. przek. gminie na zad. bież real. na podst.poroz.j.s.t.</t>
  </si>
  <si>
    <t>92195</t>
  </si>
  <si>
    <t>926</t>
  </si>
  <si>
    <t>KULTURA FIZYCZNA I SPORT</t>
  </si>
  <si>
    <t>92601</t>
  </si>
  <si>
    <t>Obiekty sportowe</t>
  </si>
  <si>
    <t>Wydatki inwest.jednost. budżet</t>
  </si>
  <si>
    <t>92695</t>
  </si>
  <si>
    <t>Ogółem</t>
  </si>
  <si>
    <t>z tego:</t>
  </si>
  <si>
    <t>X</t>
  </si>
  <si>
    <t>a) wydatki bieżące, w tym:</t>
  </si>
  <si>
    <t xml:space="preserve">    wynagrodzenia</t>
  </si>
  <si>
    <t xml:space="preserve">    pochodne od wynagrodzeń</t>
  </si>
  <si>
    <t>0870</t>
  </si>
  <si>
    <t>wpływy ze sprzedaży skł.majątk.</t>
  </si>
  <si>
    <t>dochody z najmu i dzierżawy skł.majątk.</t>
  </si>
  <si>
    <t>6058</t>
  </si>
  <si>
    <t>75075</t>
  </si>
  <si>
    <t>Promocja jednostek samorządu terytorialnego</t>
  </si>
  <si>
    <t>Dotacje celowe przekazane gminie</t>
  </si>
  <si>
    <t xml:space="preserve">Wynagrodzenia osobowe </t>
  </si>
  <si>
    <t>803</t>
  </si>
  <si>
    <t>80309</t>
  </si>
  <si>
    <t>Pomoc materialna dla studentów</t>
  </si>
  <si>
    <t>3218</t>
  </si>
  <si>
    <t>Stypendia i zasiłki dla studentów</t>
  </si>
  <si>
    <t>3219</t>
  </si>
  <si>
    <t>4178</t>
  </si>
  <si>
    <t>4179</t>
  </si>
  <si>
    <t>4218</t>
  </si>
  <si>
    <t>4308</t>
  </si>
  <si>
    <t>4309</t>
  </si>
  <si>
    <t>4219</t>
  </si>
  <si>
    <t>85154</t>
  </si>
  <si>
    <t xml:space="preserve">Przeciwdziałanie alkoholizmowi </t>
  </si>
  <si>
    <t>Zakup usług internetowych</t>
  </si>
  <si>
    <t>85220</t>
  </si>
  <si>
    <t>Jednostki specjalistycznego poradnictwa, mieszkania chronione i ośrodki interwencji kryzysowej</t>
  </si>
  <si>
    <t>Odpis na ZFŚS naucz.emerytów</t>
  </si>
  <si>
    <t>Nagr.i wyd.nie zal.do wynagrodzeń</t>
  </si>
  <si>
    <t>6051</t>
  </si>
  <si>
    <t>Stypendia  dla uczniów</t>
  </si>
  <si>
    <t>3248</t>
  </si>
  <si>
    <t>3249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</si>
  <si>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</si>
  <si>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</si>
  <si>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</si>
  <si>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wpływy od rodziców z tyt.odpłatności z utrzym.dzieci</t>
  </si>
  <si>
    <t>Udzielone przez powiat poręczenia                                   i gwarancje (niewymagalne)</t>
  </si>
  <si>
    <t xml:space="preserve">    na obsł. długu j.s.t., poręcz. i gwar.</t>
  </si>
  <si>
    <t>b) wydatki majątkowe, w tym:</t>
  </si>
  <si>
    <t>Klasyfikacja</t>
  </si>
  <si>
    <t>Nazwa</t>
  </si>
  <si>
    <t>Dochody przyznane z tyt. dotacji na realizację zadań z zakresu adm. rządowej</t>
  </si>
  <si>
    <t>Wydatki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</si>
  <si>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</si>
  <si>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</si>
  <si>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</si>
  <si>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</si>
  <si>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</si>
  <si>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</si>
  <si>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</si>
  <si>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211</t>
  </si>
  <si>
    <t>Prace geodezyjno - urządzeniowe na potrzeby rolnictwa</t>
  </si>
  <si>
    <t>Koszty postępow.sąd.i prokurat.</t>
  </si>
  <si>
    <t>85233</t>
  </si>
  <si>
    <t>Dokształcanie i doskonalenie nauczycieli</t>
  </si>
  <si>
    <t>Przedszkola specjalne</t>
  </si>
  <si>
    <t>80105</t>
  </si>
  <si>
    <t>Dot.podmiot z budż. dla szkół niepub. (Centr.Ed. Spec.w Olecku)</t>
  </si>
  <si>
    <t>- z funduszy celowych (§ 6260 i 2440)</t>
  </si>
  <si>
    <t>Środki otrzymane od pozostałych jedn. sektora f.p.</t>
  </si>
  <si>
    <t>subwencja uzupełniająca części wyrównwczej subwencji ogólnej</t>
  </si>
  <si>
    <t>Inspekcja weterynaryjna</t>
  </si>
  <si>
    <t>Dodatkowe wynagr. roczne</t>
  </si>
  <si>
    <t xml:space="preserve">Składki na ubezp. społeczne </t>
  </si>
  <si>
    <t>Różne wydatki na rzecz osób fiz.</t>
  </si>
  <si>
    <t>Nagrody i wydat. nie zal.do wyn.</t>
  </si>
  <si>
    <t>Dodatkowe wynagrodzenie roczne</t>
  </si>
  <si>
    <t>Uposaż. żołnierzy zawod. i nadtermin. oraz funkcjonar.</t>
  </si>
  <si>
    <t>Pozostałe należn. funkcjonar.</t>
  </si>
  <si>
    <t xml:space="preserve">Składki na ubezp.społeczne </t>
  </si>
  <si>
    <t>Zakup środkó żywności</t>
  </si>
  <si>
    <t>Komendy Powiatowe Państwowej Straży Pożarnej</t>
  </si>
  <si>
    <t>Wynagr.osobow.korpusu służby cywilnej</t>
  </si>
  <si>
    <t>Uposaż.żołnierzy zawod. i nadtermin.oraz funkcjon. zwol. ze służby</t>
  </si>
  <si>
    <t>Przebudowa i modernizacja Szpitala Powiatowego w Olecku  (lata: 1986 - 2008)</t>
  </si>
  <si>
    <t>Wydatki  inwestycyjne</t>
  </si>
  <si>
    <t>Opłaty na rzecz jst</t>
  </si>
  <si>
    <t>Wydatki inwest.jedn.budżet.</t>
  </si>
  <si>
    <t>Składki na ubezp.zdr.os.nie obj.obow.ubezp.</t>
  </si>
  <si>
    <t>Składki na ubezp.zdrowotne</t>
  </si>
  <si>
    <t>RAZEM:</t>
  </si>
  <si>
    <t>Dochody</t>
  </si>
  <si>
    <t>Placówki opiekuńczo - wychowawcze</t>
  </si>
  <si>
    <t>Rodziny zastępcze</t>
  </si>
  <si>
    <t>w tym:</t>
  </si>
  <si>
    <t>Placówki dokształc.i doskon.naucz.</t>
  </si>
  <si>
    <t>Szkolne Schroniska Młodzieżowe</t>
  </si>
  <si>
    <t>- Gmina Dubeninki</t>
  </si>
  <si>
    <t>- Gmina Świętajno</t>
  </si>
  <si>
    <t>- Gmina Kowale Oleckie</t>
  </si>
  <si>
    <t>Kultura i ochrona dziedzictwa narodowego</t>
  </si>
  <si>
    <t>Źródła sfinansowania deficytu lub rozdysponowania nadwyżki budżetowej</t>
  </si>
  <si>
    <t>Lp.</t>
  </si>
  <si>
    <t>Treść</t>
  </si>
  <si>
    <t>Klasyfikacja przychodów i rozchodów</t>
  </si>
  <si>
    <t>Plan 2002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</si>
  <si>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</si>
  <si>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</si>
  <si>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</si>
  <si>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</si>
  <si>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</si>
  <si>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</si>
  <si>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</si>
  <si>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</si>
  <si>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</si>
  <si>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</si>
  <si>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</si>
  <si>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</si>
  <si>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</si>
  <si>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</si>
  <si>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</si>
  <si>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</si>
  <si>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0570</t>
  </si>
  <si>
    <t>grzywny, mandaty i inne kary pieniężne od ludności</t>
  </si>
  <si>
    <t>Plan 2006</t>
  </si>
  <si>
    <t>wpłaty z  zysku jednoosobowych spółek samorządu tertytorailnego</t>
  </si>
  <si>
    <t>0730</t>
  </si>
  <si>
    <t>Pow.Centra Pomocy Rodzinie</t>
  </si>
  <si>
    <t>6298</t>
  </si>
  <si>
    <t>środki na dofin.własnych inwest. pozyskane z innych źródeł</t>
  </si>
  <si>
    <t>dot.cel.otrzymane z samorz.woj..na zak.inwest.na podst.umów</t>
  </si>
  <si>
    <t>Szkolnictwo wyższe</t>
  </si>
  <si>
    <t>dotacja na dofinansowanie kosztów realizacji zakupów inwestycyjnych jednostek sektora finansów publicznych</t>
  </si>
  <si>
    <t>datacje na realizację zadań bieżących jednostek sektora  finansów publicznych</t>
  </si>
  <si>
    <t>subwencje ogólne z udżetu państwa</t>
  </si>
  <si>
    <t>subwencje ogólne z budżetu państwa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</si>
  <si>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</si>
  <si>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</si>
  <si>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</si>
  <si>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</si>
  <si>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</si>
  <si>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</si>
  <si>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</si>
  <si>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</si>
  <si>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</si>
  <si>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</si>
  <si>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</si>
  <si>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</si>
  <si>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</si>
  <si>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Rodzaj zadłużenia</t>
  </si>
  <si>
    <t>a) ustaw,</t>
  </si>
  <si>
    <t>b) orzeczeń sądu,</t>
  </si>
  <si>
    <t>c) udzielonych poręczeń i gwarancji</t>
  </si>
  <si>
    <t>d) innych tytułów</t>
  </si>
  <si>
    <t>6.</t>
  </si>
  <si>
    <t>Łączna kwota długu na koniec roku budż.</t>
  </si>
  <si>
    <t>7.</t>
  </si>
  <si>
    <t>Dochody ogółem</t>
  </si>
  <si>
    <t>6052</t>
  </si>
  <si>
    <t>Usługi internetowe</t>
  </si>
  <si>
    <t>wynagrodzenia bezosobowe</t>
  </si>
  <si>
    <t>3070</t>
  </si>
  <si>
    <t>Wydatki osob.nie zal.do wynagr.</t>
  </si>
  <si>
    <t>4180</t>
  </si>
  <si>
    <t>Równoważniki i ekwiwalenty</t>
  </si>
  <si>
    <t>75414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</si>
  <si>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</si>
  <si>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</si>
  <si>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</si>
  <si>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</si>
  <si>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</si>
  <si>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Dotacje celowe przekazane do samorządu województwa</t>
  </si>
  <si>
    <t>6059</t>
  </si>
  <si>
    <t>Koszty postępow. sądow. i prok.</t>
  </si>
  <si>
    <t>Wyn.osob. korpusu sł.cywilnej</t>
  </si>
  <si>
    <t>Ośrodek Szkolno-Wychowawczy dla Dzieci Głuchych w Olecku</t>
  </si>
  <si>
    <t>Poniesione nakłady do końca 2005 roku</t>
  </si>
  <si>
    <t>dotacje cel. przek. gminie na zad. bieżące</t>
  </si>
  <si>
    <t>Dotacje celowe przek.gminie</t>
  </si>
  <si>
    <t>Dotacje celowe przek.powiatowi</t>
  </si>
  <si>
    <t>wydatki inwestycyjne (§§ 6050,6052,6059,6060)</t>
  </si>
  <si>
    <t>Dot. cel.przekazane powiatowi</t>
  </si>
  <si>
    <t>Stypendia różne</t>
  </si>
  <si>
    <t>Procentowy (%) udział długu w dochodach</t>
  </si>
  <si>
    <t>Prognoza kwoty długu powiatu na lata 2005 - 2015</t>
  </si>
  <si>
    <t xml:space="preserve">Kredyty zaciągnięte w latach poprzednich                                                                </t>
  </si>
  <si>
    <t>Kredyty zaciągnięte w roku budżetowym</t>
  </si>
  <si>
    <t>Pożyczki z BP zaciągnięte  na prefinansowanie(zadłużenie na 31.12)</t>
  </si>
  <si>
    <t>Kredyty inwestycyjne na realicację zadań w ramach programów ZPORR</t>
  </si>
  <si>
    <t>Wymagalne zobowiązania, wynikające z następujących tytułów:</t>
  </si>
  <si>
    <t xml:space="preserve">Spłata kredytów zaciągniętych w latach poprzednich </t>
  </si>
  <si>
    <t xml:space="preserve">Spłata kredytów zaciągniętych na zadania w ramach programów ZPORR </t>
  </si>
  <si>
    <t>6260</t>
  </si>
  <si>
    <t>2440</t>
  </si>
  <si>
    <t>Wydatki osobowe nie zaliczne do wynagrodzeń</t>
  </si>
  <si>
    <t>Suma spłaconych kredytów i pożyczek</t>
  </si>
  <si>
    <t xml:space="preserve">Przewodniczący Rady Powiatu: Wacław Sapieha     </t>
  </si>
  <si>
    <t>Prace geodezyjno-urządz. na potrzeby rolnictwa</t>
  </si>
  <si>
    <t>10.</t>
  </si>
  <si>
    <t>Powiatowy Zarząd Dróg w Olecku</t>
  </si>
  <si>
    <t>12.</t>
  </si>
  <si>
    <t>Nazwa zadania inwestycyjnego i okres realizacji (w latach)</t>
  </si>
  <si>
    <t>Planowane nakłady</t>
  </si>
  <si>
    <t>Jednostki organizac. realiz. zadanie lub koordynuj. program</t>
  </si>
  <si>
    <t>w tym źródła finansowania</t>
  </si>
  <si>
    <t>środki własne</t>
  </si>
  <si>
    <t>kredyty i pożyczki</t>
  </si>
  <si>
    <t>Modernizacja drogi powiatowej nr 40454 Olecko-Świętajno (lata: 2001 - 2002)</t>
  </si>
  <si>
    <t>OGÓŁEM</t>
  </si>
  <si>
    <t>Przewodniczący Rady Powiatu: Juliusz Uss</t>
  </si>
  <si>
    <t>9.</t>
  </si>
  <si>
    <t>Przewidywa-ne wykon. w 2000</t>
  </si>
  <si>
    <t>Wzrost w %   7:6</t>
  </si>
  <si>
    <t>strukt. procentowa</t>
  </si>
  <si>
    <t>zwiększenia (+)</t>
  </si>
  <si>
    <t>zmniejszenia (-)</t>
  </si>
  <si>
    <t>p.w. 2000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</si>
  <si>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</si>
  <si>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</si>
  <si>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</si>
  <si>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</si>
  <si>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</si>
  <si>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</si>
  <si>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092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</si>
  <si>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</si>
  <si>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</si>
  <si>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</si>
  <si>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</si>
  <si>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</si>
  <si>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</si>
  <si>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</si>
  <si>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</si>
  <si>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PLAN WYDATKÓW BUDŻETU POWIATU NA ROK 2006</t>
  </si>
  <si>
    <t>OBSŁUGA DŁUGU PUBL.</t>
  </si>
  <si>
    <t>§  9520</t>
  </si>
  <si>
    <t>§  9550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</si>
  <si>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</si>
  <si>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</si>
  <si>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</si>
  <si>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</si>
  <si>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</si>
  <si>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</si>
  <si>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</si>
  <si>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Administracja publiczna</t>
  </si>
  <si>
    <t>Starostwa Powiatowe</t>
  </si>
  <si>
    <t>wpływy z opłaty komunikacyjnej</t>
  </si>
  <si>
    <t>wpływy z różnych dochodów</t>
  </si>
  <si>
    <t xml:space="preserve">Przewodniczący Rady Powiatu </t>
  </si>
  <si>
    <t>zadania własne</t>
  </si>
  <si>
    <t>Stypendia dla uczniów</t>
  </si>
  <si>
    <t>Wpływy z tytułu pomocy finansowej udzielanej między j.s.t. na dofinansowanie własnych zadań inwestycyjnych i zakupoów inwestycyjnych</t>
  </si>
  <si>
    <t xml:space="preserve">Plan przychodów i wydatków Powiatowego Funduszu Ochrony Środowiska i Gospodarki Wodnej </t>
  </si>
  <si>
    <t>Plan na 2006 r</t>
  </si>
  <si>
    <t>Stan funduszy na początek roku, w tym:</t>
  </si>
  <si>
    <t>- środki pieniężne</t>
  </si>
  <si>
    <t>- należności</t>
  </si>
  <si>
    <t>- zobowiązania</t>
  </si>
  <si>
    <t>- materiały</t>
  </si>
  <si>
    <t>Wydatki bieżące</t>
  </si>
  <si>
    <t>§ 2440-dotacje przekazane z funduszy celowych na realizację zadań bieżących dla jednostek sektora finansów publicznych</t>
  </si>
  <si>
    <t>§ 2710 wydatki na pomoc finansową udzielaną na podstawie porozumień z jst na dofinansow. zadań bieżących</t>
  </si>
  <si>
    <t>§ 2450-dotacje przekazane z funduszy celowych na realizację zadań bieżących dla jednostek niezalicznych do sektora finansów publicznych</t>
  </si>
  <si>
    <t xml:space="preserve"> § 4210-zakup materiałów i wyposażenia</t>
  </si>
  <si>
    <t>§ 4300-zakup usług pozostałych</t>
  </si>
  <si>
    <t>Wydatki majątkowe, w tym</t>
  </si>
  <si>
    <t>§ 6120- wydatki na zakupy inwestycyjne</t>
  </si>
  <si>
    <t>§ 6260 - dotacja z f-szy cel.na realiz.inwest.jedn.sekt.fin.publ.</t>
  </si>
  <si>
    <t>IV</t>
  </si>
  <si>
    <t>Stan funduszy na koniec roku, w tym:</t>
  </si>
  <si>
    <t>Przewodniczący Rady Powiatu:Wacław Sapieha</t>
  </si>
  <si>
    <t>Gmina Olecko</t>
  </si>
  <si>
    <t>§ 0690-opłaty i kary z tyt.gosp.korzystania ze środowiska</t>
  </si>
  <si>
    <t>§ 2710-wpływy z tyt.pomocy finans.udziel.między j.s.t.na dofin.własnych zadań bieżących</t>
  </si>
  <si>
    <t>§ 0970-pozostałe dochody</t>
  </si>
  <si>
    <t>Zakup zestawów ratowniczych i fantoma - manekina (rok 2006)</t>
  </si>
  <si>
    <t>Wykonanie dokumentacji technicznej i przeniesienie laboratorium wasztatów szkolnych</t>
  </si>
  <si>
    <t xml:space="preserve"> Załącznik Nr 1 do Uchwały Rady Powiatu Nr XLIV/314/06 z dnia 24 sierpnia 2006r.</t>
  </si>
  <si>
    <t>Załącznik Nr 2 do Uchwały Rady Powiatu w Olecku                                                Nr XLIV/314/06  z dnia 24 sierpnia 2006 roku</t>
  </si>
  <si>
    <t xml:space="preserve">Załącznik nr 3 do Uchwały Rady Powiatu                                             w Olecku Nr XLIV/314/06  z dnia 24 sierpnia 2006r. </t>
  </si>
  <si>
    <r>
      <t>Załącznik nr 4 do Uchwały Rady Powiatu w Olecku Nr</t>
    </r>
    <r>
      <rPr>
        <sz val="8"/>
        <rFont val="Arial CE"/>
        <family val="0"/>
      </rPr>
      <t xml:space="preserve"> XLIV/314/06 </t>
    </r>
    <r>
      <rPr>
        <sz val="8"/>
        <rFont val="Arial CE"/>
        <family val="2"/>
      </rPr>
      <t>z dn. 24 sierpnia 2006r.</t>
    </r>
  </si>
  <si>
    <r>
      <t>Załącznik Nr 5 do Uchwały Rady Powiatu Nr XLIV</t>
    </r>
    <r>
      <rPr>
        <sz val="8"/>
        <rFont val="Arial CE"/>
        <family val="0"/>
      </rPr>
      <t>/314/06</t>
    </r>
    <r>
      <rPr>
        <sz val="8"/>
        <rFont val="Arial CE"/>
        <family val="2"/>
      </rPr>
      <t xml:space="preserve"> z dnia 24 sierpnia 2006r.</t>
    </r>
  </si>
  <si>
    <r>
      <t>Załącznik nr 6 do Uchwały Rady Powiatu w Olecku Nr</t>
    </r>
    <r>
      <rPr>
        <b/>
        <sz val="7"/>
        <rFont val="Arial CE"/>
        <family val="2"/>
      </rPr>
      <t xml:space="preserve"> XLIV/314/06</t>
    </r>
    <r>
      <rPr>
        <b/>
        <sz val="7"/>
        <rFont val="Arial CE"/>
        <family val="0"/>
      </rPr>
      <t xml:space="preserve"> z dnia 24 sierpnia 2006r.</t>
    </r>
  </si>
  <si>
    <t>Załącznik nr 7 do Uchwały Rady Powiatu nr XLIV/314/06 z dnia 24 sierpnia 2006r.</t>
  </si>
  <si>
    <t>Załącznik Nr 8 do Uchwały Rady Powiatu                                  w Olecku Nr XLIV/314/06 z dnia  24 sierpnia 2006 roku</t>
  </si>
  <si>
    <t>Załacznik Nr 9           do Uchwały Rady Powiatu  w Olecku  Nr XLIV/314/06                        z dnia 24 sierpnia 2006r.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</si>
</sst>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</numFmts>
  <fonts count="2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u val="single"/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sz val="6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165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right"/>
    </xf>
    <xf numFmtId="0" fontId="4" fillId="0" borderId="5" xfId="0" applyFont="1" applyBorder="1" applyAlignment="1">
      <alignment horizontal="right"/>
    </xf>
    <xf numFmtId="0" fontId="0" fillId="0" borderId="5" xfId="0" applyBorder="1" applyAlignment="1">
      <alignment wrapText="1"/>
    </xf>
    <xf numFmtId="49" fontId="0" fillId="0" borderId="8" xfId="0" applyNumberFormat="1" applyFont="1" applyBorder="1" applyAlignment="1">
      <alignment/>
    </xf>
    <xf numFmtId="0" fontId="4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65" fontId="0" fillId="0" borderId="5" xfId="0" applyNumberFormat="1" applyBorder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5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0" fontId="4" fillId="0" borderId="12" xfId="0" applyFont="1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wrapText="1"/>
    </xf>
    <xf numFmtId="0" fontId="4" fillId="0" borderId="11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right"/>
    </xf>
    <xf numFmtId="41" fontId="9" fillId="0" borderId="8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24" xfId="0" applyFont="1" applyBorder="1" applyAlignment="1">
      <alignment horizontal="right"/>
    </xf>
    <xf numFmtId="0" fontId="0" fillId="0" borderId="25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165" fontId="0" fillId="0" borderId="1" xfId="0" applyNumberFormat="1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8" xfId="0" applyFont="1" applyBorder="1" applyAlignment="1">
      <alignment horizontal="left" wrapText="1"/>
    </xf>
    <xf numFmtId="0" fontId="0" fillId="0" borderId="8" xfId="0" applyFont="1" applyBorder="1" applyAlignment="1">
      <alignment/>
    </xf>
    <xf numFmtId="165" fontId="0" fillId="0" borderId="8" xfId="0" applyNumberFormat="1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/>
    </xf>
    <xf numFmtId="165" fontId="0" fillId="0" borderId="5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0" fontId="0" fillId="0" borderId="29" xfId="0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0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right"/>
    </xf>
    <xf numFmtId="0" fontId="12" fillId="0" borderId="0" xfId="0" applyFont="1" applyAlignment="1">
      <alignment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12" fillId="0" borderId="8" xfId="0" applyFont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14" fillId="0" borderId="34" xfId="0" applyFont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/>
    </xf>
    <xf numFmtId="0" fontId="4" fillId="0" borderId="35" xfId="0" applyFont="1" applyBorder="1" applyAlignment="1">
      <alignment horizontal="center"/>
    </xf>
    <xf numFmtId="10" fontId="0" fillId="0" borderId="5" xfId="0" applyNumberForma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9" fontId="0" fillId="0" borderId="8" xfId="0" applyNumberFormat="1" applyFont="1" applyBorder="1" applyAlignment="1">
      <alignment horizontal="left"/>
    </xf>
    <xf numFmtId="0" fontId="0" fillId="0" borderId="2" xfId="0" applyBorder="1" applyAlignment="1">
      <alignment/>
    </xf>
    <xf numFmtId="2" fontId="0" fillId="0" borderId="5" xfId="0" applyNumberFormat="1" applyBorder="1" applyAlignment="1">
      <alignment/>
    </xf>
    <xf numFmtId="0" fontId="10" fillId="2" borderId="14" xfId="0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25" xfId="0" applyFont="1" applyBorder="1" applyAlignment="1">
      <alignment horizontal="right" wrapText="1"/>
    </xf>
    <xf numFmtId="0" fontId="0" fillId="0" borderId="3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 horizontal="right"/>
      <protection/>
    </xf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/>
    </xf>
    <xf numFmtId="0" fontId="0" fillId="0" borderId="1" xfId="0" applyBorder="1" applyAlignment="1">
      <alignment/>
    </xf>
    <xf numFmtId="49" fontId="4" fillId="4" borderId="5" xfId="0" applyNumberFormat="1" applyFont="1" applyFill="1" applyBorder="1" applyAlignment="1">
      <alignment/>
    </xf>
    <xf numFmtId="0" fontId="4" fillId="4" borderId="5" xfId="0" applyFont="1" applyFill="1" applyBorder="1" applyAlignment="1">
      <alignment/>
    </xf>
    <xf numFmtId="49" fontId="4" fillId="4" borderId="1" xfId="0" applyNumberFormat="1" applyFont="1" applyFill="1" applyBorder="1" applyAlignment="1">
      <alignment/>
    </xf>
    <xf numFmtId="0" fontId="4" fillId="4" borderId="1" xfId="0" applyFont="1" applyFill="1" applyBorder="1" applyAlignment="1">
      <alignment/>
    </xf>
    <xf numFmtId="49" fontId="0" fillId="4" borderId="1" xfId="0" applyNumberFormat="1" applyFill="1" applyBorder="1" applyAlignment="1">
      <alignment horizontal="left"/>
    </xf>
    <xf numFmtId="0" fontId="4" fillId="4" borderId="1" xfId="0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left"/>
    </xf>
    <xf numFmtId="0" fontId="10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49" fontId="4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wrapText="1"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49" fontId="0" fillId="5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/>
    </xf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4" fillId="6" borderId="1" xfId="0" applyFont="1" applyFill="1" applyBorder="1" applyAlignment="1">
      <alignment horizontal="right"/>
    </xf>
    <xf numFmtId="49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right" wrapText="1"/>
    </xf>
    <xf numFmtId="0" fontId="0" fillId="0" borderId="40" xfId="0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  <xf numFmtId="165" fontId="4" fillId="3" borderId="1" xfId="0" applyNumberFormat="1" applyFont="1" applyFill="1" applyBorder="1" applyAlignment="1">
      <alignment horizontal="right"/>
    </xf>
    <xf numFmtId="49" fontId="4" fillId="3" borderId="1" xfId="0" applyNumberFormat="1" applyFont="1" applyFill="1" applyBorder="1" applyAlignment="1">
      <alignment horizontal="left"/>
    </xf>
    <xf numFmtId="0" fontId="10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0" fillId="3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6" borderId="1" xfId="0" applyFont="1" applyFill="1" applyBorder="1" applyAlignment="1">
      <alignment/>
    </xf>
    <xf numFmtId="0" fontId="9" fillId="0" borderId="38" xfId="0" applyFont="1" applyBorder="1" applyAlignment="1">
      <alignment horizontal="center"/>
    </xf>
    <xf numFmtId="0" fontId="9" fillId="0" borderId="38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43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12" fillId="0" borderId="42" xfId="0" applyFont="1" applyBorder="1" applyAlignment="1">
      <alignment/>
    </xf>
    <xf numFmtId="0" fontId="12" fillId="0" borderId="37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45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10" fillId="0" borderId="14" xfId="0" applyFont="1" applyBorder="1" applyAlignment="1">
      <alignment wrapText="1"/>
    </xf>
    <xf numFmtId="10" fontId="7" fillId="0" borderId="21" xfId="0" applyNumberFormat="1" applyFont="1" applyBorder="1" applyAlignment="1">
      <alignment/>
    </xf>
    <xf numFmtId="10" fontId="7" fillId="0" borderId="44" xfId="0" applyNumberFormat="1" applyFont="1" applyBorder="1" applyAlignment="1">
      <alignment/>
    </xf>
    <xf numFmtId="10" fontId="7" fillId="0" borderId="14" xfId="0" applyNumberFormat="1" applyFont="1" applyBorder="1" applyAlignment="1">
      <alignment/>
    </xf>
    <xf numFmtId="0" fontId="7" fillId="0" borderId="46" xfId="0" applyFont="1" applyBorder="1" applyAlignment="1">
      <alignment horizontal="center"/>
    </xf>
    <xf numFmtId="0" fontId="7" fillId="0" borderId="35" xfId="0" applyFont="1" applyBorder="1" applyAlignment="1">
      <alignment wrapText="1"/>
    </xf>
    <xf numFmtId="0" fontId="7" fillId="0" borderId="14" xfId="0" applyNumberFormat="1" applyFont="1" applyBorder="1" applyAlignment="1">
      <alignment/>
    </xf>
    <xf numFmtId="0" fontId="7" fillId="0" borderId="44" xfId="0" applyNumberFormat="1" applyFont="1" applyBorder="1" applyAlignment="1">
      <alignment/>
    </xf>
    <xf numFmtId="0" fontId="7" fillId="0" borderId="21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0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2" fillId="0" borderId="1" xfId="0" applyFont="1" applyFill="1" applyBorder="1" applyAlignment="1">
      <alignment wrapText="1"/>
    </xf>
    <xf numFmtId="0" fontId="9" fillId="0" borderId="1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30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4" fillId="6" borderId="1" xfId="0" applyFont="1" applyFill="1" applyBorder="1" applyAlignment="1">
      <alignment horizontal="left"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4" fillId="6" borderId="1" xfId="0" applyFont="1" applyFill="1" applyBorder="1" applyAlignment="1">
      <alignment wrapText="1"/>
    </xf>
    <xf numFmtId="49" fontId="4" fillId="6" borderId="1" xfId="0" applyNumberFormat="1" applyFont="1" applyFill="1" applyBorder="1" applyAlignment="1">
      <alignment horizontal="left"/>
    </xf>
    <xf numFmtId="0" fontId="8" fillId="6" borderId="1" xfId="0" applyFont="1" applyFill="1" applyBorder="1" applyAlignment="1">
      <alignment/>
    </xf>
    <xf numFmtId="49" fontId="0" fillId="6" borderId="1" xfId="0" applyNumberForma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7" fillId="6" borderId="1" xfId="0" applyFont="1" applyFill="1" applyBorder="1" applyAlignment="1">
      <alignment horizontal="left" wrapText="1"/>
    </xf>
    <xf numFmtId="0" fontId="8" fillId="6" borderId="1" xfId="0" applyFont="1" applyFill="1" applyBorder="1" applyAlignment="1">
      <alignment wrapText="1"/>
    </xf>
    <xf numFmtId="0" fontId="0" fillId="6" borderId="1" xfId="0" applyFill="1" applyBorder="1" applyAlignment="1">
      <alignment/>
    </xf>
    <xf numFmtId="10" fontId="0" fillId="0" borderId="0" xfId="0" applyNumberFormat="1" applyFont="1" applyBorder="1" applyAlignment="1">
      <alignment/>
    </xf>
    <xf numFmtId="0" fontId="12" fillId="0" borderId="1" xfId="0" applyFont="1" applyBorder="1" applyAlignment="1">
      <alignment wrapText="1"/>
    </xf>
    <xf numFmtId="41" fontId="16" fillId="0" borderId="8" xfId="0" applyNumberFormat="1" applyFont="1" applyBorder="1" applyAlignment="1">
      <alignment horizontal="center"/>
    </xf>
    <xf numFmtId="41" fontId="16" fillId="0" borderId="1" xfId="0" applyNumberFormat="1" applyFont="1" applyBorder="1" applyAlignment="1">
      <alignment horizontal="center"/>
    </xf>
    <xf numFmtId="0" fontId="4" fillId="0" borderId="19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/>
      <protection/>
    </xf>
    <xf numFmtId="0" fontId="4" fillId="6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16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/>
    </xf>
    <xf numFmtId="0" fontId="0" fillId="2" borderId="16" xfId="0" applyFont="1" applyFill="1" applyBorder="1" applyAlignment="1">
      <alignment horizontal="right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0" fillId="2" borderId="25" xfId="0" applyFont="1" applyFill="1" applyBorder="1" applyAlignment="1">
      <alignment/>
    </xf>
    <xf numFmtId="0" fontId="0" fillId="8" borderId="10" xfId="0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7" xfId="0" applyFont="1" applyBorder="1" applyAlignment="1">
      <alignment horizontal="right"/>
    </xf>
    <xf numFmtId="0" fontId="0" fillId="0" borderId="47" xfId="0" applyNumberFormat="1" applyFont="1" applyBorder="1" applyAlignment="1">
      <alignment/>
    </xf>
    <xf numFmtId="0" fontId="9" fillId="0" borderId="1" xfId="0" applyFont="1" applyBorder="1" applyAlignment="1">
      <alignment wrapText="1"/>
    </xf>
    <xf numFmtId="0" fontId="0" fillId="0" borderId="48" xfId="0" applyNumberFormat="1" applyFont="1" applyBorder="1" applyAlignment="1">
      <alignment/>
    </xf>
    <xf numFmtId="49" fontId="4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3" borderId="1" xfId="0" applyFill="1" applyBorder="1" applyAlignment="1">
      <alignment/>
    </xf>
    <xf numFmtId="49" fontId="0" fillId="3" borderId="1" xfId="0" applyNumberFormat="1" applyFill="1" applyBorder="1" applyAlignment="1">
      <alignment horizontal="left"/>
    </xf>
    <xf numFmtId="49" fontId="0" fillId="3" borderId="1" xfId="0" applyNumberFormat="1" applyFill="1" applyBorder="1" applyAlignment="1">
      <alignment/>
    </xf>
    <xf numFmtId="0" fontId="7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right"/>
    </xf>
    <xf numFmtId="49" fontId="0" fillId="3" borderId="1" xfId="0" applyNumberForma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 wrapText="1"/>
    </xf>
    <xf numFmtId="0" fontId="0" fillId="9" borderId="5" xfId="0" applyFill="1" applyBorder="1" applyAlignment="1">
      <alignment/>
    </xf>
    <xf numFmtId="0" fontId="0" fillId="9" borderId="1" xfId="0" applyFill="1" applyBorder="1" applyAlignment="1">
      <alignment/>
    </xf>
    <xf numFmtId="0" fontId="16" fillId="0" borderId="33" xfId="0" applyFont="1" applyBorder="1" applyAlignment="1">
      <alignment wrapText="1"/>
    </xf>
    <xf numFmtId="0" fontId="16" fillId="0" borderId="33" xfId="0" applyFont="1" applyBorder="1" applyAlignment="1">
      <alignment/>
    </xf>
    <xf numFmtId="0" fontId="4" fillId="6" borderId="14" xfId="0" applyFont="1" applyFill="1" applyBorder="1" applyAlignment="1">
      <alignment horizontal="center"/>
    </xf>
    <xf numFmtId="0" fontId="4" fillId="6" borderId="49" xfId="0" applyFont="1" applyFill="1" applyBorder="1" applyAlignment="1">
      <alignment horizontal="center"/>
    </xf>
    <xf numFmtId="41" fontId="15" fillId="0" borderId="14" xfId="0" applyNumberFormat="1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15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/>
    </xf>
    <xf numFmtId="0" fontId="4" fillId="0" borderId="39" xfId="0" applyFont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0" fontId="4" fillId="3" borderId="9" xfId="0" applyFont="1" applyFill="1" applyBorder="1" applyAlignment="1">
      <alignment horizontal="right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0" fillId="0" borderId="30" xfId="0" applyFont="1" applyBorder="1" applyAlignment="1">
      <alignment/>
    </xf>
    <xf numFmtId="165" fontId="4" fillId="3" borderId="5" xfId="0" applyNumberFormat="1" applyFont="1" applyFill="1" applyBorder="1" applyAlignment="1">
      <alignment horizontal="right"/>
    </xf>
    <xf numFmtId="0" fontId="0" fillId="0" borderId="8" xfId="0" applyFont="1" applyBorder="1" applyAlignment="1">
      <alignment horizontal="right"/>
    </xf>
    <xf numFmtId="165" fontId="5" fillId="5" borderId="11" xfId="0" applyNumberFormat="1" applyFont="1" applyFill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wrapText="1"/>
    </xf>
    <xf numFmtId="41" fontId="18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0" fontId="16" fillId="0" borderId="5" xfId="0" applyFont="1" applyBorder="1" applyAlignment="1">
      <alignment wrapText="1"/>
    </xf>
    <xf numFmtId="0" fontId="16" fillId="0" borderId="52" xfId="0" applyFont="1" applyBorder="1" applyAlignment="1">
      <alignment wrapText="1"/>
    </xf>
    <xf numFmtId="0" fontId="9" fillId="6" borderId="1" xfId="0" applyFont="1" applyFill="1" applyBorder="1" applyAlignment="1">
      <alignment horizontal="left"/>
    </xf>
    <xf numFmtId="165" fontId="9" fillId="6" borderId="1" xfId="0" applyNumberFormat="1" applyFont="1" applyFill="1" applyBorder="1" applyAlignment="1">
      <alignment/>
    </xf>
    <xf numFmtId="0" fontId="9" fillId="6" borderId="1" xfId="0" applyFont="1" applyFill="1" applyBorder="1" applyAlignment="1">
      <alignment/>
    </xf>
    <xf numFmtId="0" fontId="7" fillId="6" borderId="1" xfId="0" applyFont="1" applyFill="1" applyBorder="1" applyAlignment="1">
      <alignment/>
    </xf>
    <xf numFmtId="165" fontId="9" fillId="0" borderId="1" xfId="0" applyNumberFormat="1" applyFont="1" applyBorder="1" applyAlignment="1">
      <alignment/>
    </xf>
    <xf numFmtId="164" fontId="9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10" fontId="9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left"/>
    </xf>
    <xf numFmtId="0" fontId="9" fillId="0" borderId="47" xfId="0" applyNumberFormat="1" applyFont="1" applyBorder="1" applyAlignment="1">
      <alignment/>
    </xf>
    <xf numFmtId="0" fontId="9" fillId="0" borderId="30" xfId="0" applyNumberFormat="1" applyFont="1" applyBorder="1" applyAlignment="1">
      <alignment/>
    </xf>
    <xf numFmtId="49" fontId="9" fillId="0" borderId="1" xfId="0" applyNumberFormat="1" applyFont="1" applyBorder="1" applyAlignment="1">
      <alignment horizontal="left"/>
    </xf>
    <xf numFmtId="0" fontId="9" fillId="0" borderId="1" xfId="0" applyNumberFormat="1" applyFont="1" applyBorder="1" applyAlignment="1">
      <alignment/>
    </xf>
    <xf numFmtId="49" fontId="7" fillId="6" borderId="1" xfId="0" applyNumberFormat="1" applyFont="1" applyFill="1" applyBorder="1" applyAlignment="1">
      <alignment horizontal="left"/>
    </xf>
    <xf numFmtId="2" fontId="7" fillId="6" borderId="1" xfId="0" applyNumberFormat="1" applyFont="1" applyFill="1" applyBorder="1" applyAlignment="1">
      <alignment/>
    </xf>
    <xf numFmtId="0" fontId="7" fillId="6" borderId="1" xfId="0" applyNumberFormat="1" applyFont="1" applyFill="1" applyBorder="1" applyAlignment="1">
      <alignment/>
    </xf>
    <xf numFmtId="49" fontId="9" fillId="0" borderId="1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0" fontId="7" fillId="0" borderId="1" xfId="0" applyNumberFormat="1" applyFont="1" applyFill="1" applyBorder="1" applyAlignment="1">
      <alignment/>
    </xf>
    <xf numFmtId="0" fontId="7" fillId="0" borderId="30" xfId="0" applyNumberFormat="1" applyFont="1" applyFill="1" applyBorder="1" applyAlignment="1">
      <alignment/>
    </xf>
    <xf numFmtId="165" fontId="7" fillId="6" borderId="1" xfId="0" applyNumberFormat="1" applyFont="1" applyFill="1" applyBorder="1" applyAlignment="1">
      <alignment/>
    </xf>
    <xf numFmtId="164" fontId="7" fillId="6" borderId="1" xfId="0" applyNumberFormat="1" applyFont="1" applyFill="1" applyBorder="1" applyAlignment="1">
      <alignment/>
    </xf>
    <xf numFmtId="10" fontId="7" fillId="6" borderId="1" xfId="0" applyNumberFormat="1" applyFont="1" applyFill="1" applyBorder="1" applyAlignment="1">
      <alignment/>
    </xf>
    <xf numFmtId="165" fontId="7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1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0" fontId="9" fillId="0" borderId="30" xfId="0" applyNumberFormat="1" applyFont="1" applyBorder="1" applyAlignment="1" applyProtection="1">
      <alignment/>
      <protection locked="0"/>
    </xf>
    <xf numFmtId="0" fontId="9" fillId="2" borderId="1" xfId="0" applyFont="1" applyFill="1" applyBorder="1" applyAlignment="1">
      <alignment/>
    </xf>
    <xf numFmtId="0" fontId="9" fillId="2" borderId="30" xfId="0" applyFont="1" applyFill="1" applyBorder="1" applyAlignment="1">
      <alignment/>
    </xf>
    <xf numFmtId="49" fontId="9" fillId="6" borderId="1" xfId="0" applyNumberFormat="1" applyFont="1" applyFill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0" fontId="9" fillId="6" borderId="47" xfId="0" applyNumberFormat="1" applyFont="1" applyFill="1" applyBorder="1" applyAlignment="1">
      <alignment/>
    </xf>
    <xf numFmtId="0" fontId="7" fillId="0" borderId="30" xfId="0" applyNumberFormat="1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6" borderId="47" xfId="0" applyNumberFormat="1" applyFont="1" applyFill="1" applyBorder="1" applyAlignment="1">
      <alignment/>
    </xf>
    <xf numFmtId="165" fontId="9" fillId="2" borderId="1" xfId="0" applyNumberFormat="1" applyFont="1" applyFill="1" applyBorder="1" applyAlignment="1">
      <alignment/>
    </xf>
    <xf numFmtId="164" fontId="9" fillId="2" borderId="1" xfId="0" applyNumberFormat="1" applyFont="1" applyFill="1" applyBorder="1" applyAlignment="1">
      <alignment/>
    </xf>
    <xf numFmtId="2" fontId="9" fillId="2" borderId="1" xfId="0" applyNumberFormat="1" applyFont="1" applyFill="1" applyBorder="1" applyAlignment="1">
      <alignment/>
    </xf>
    <xf numFmtId="10" fontId="9" fillId="2" borderId="1" xfId="0" applyNumberFormat="1" applyFont="1" applyFill="1" applyBorder="1" applyAlignment="1">
      <alignment/>
    </xf>
    <xf numFmtId="49" fontId="9" fillId="2" borderId="1" xfId="0" applyNumberFormat="1" applyFont="1" applyFill="1" applyBorder="1" applyAlignment="1">
      <alignment horizontal="left"/>
    </xf>
    <xf numFmtId="0" fontId="0" fillId="10" borderId="1" xfId="0" applyFont="1" applyFill="1" applyBorder="1" applyAlignment="1">
      <alignment/>
    </xf>
    <xf numFmtId="49" fontId="0" fillId="10" borderId="1" xfId="0" applyNumberFormat="1" applyFont="1" applyFill="1" applyBorder="1" applyAlignment="1">
      <alignment horizontal="left"/>
    </xf>
    <xf numFmtId="49" fontId="9" fillId="10" borderId="1" xfId="0" applyNumberFormat="1" applyFont="1" applyFill="1" applyBorder="1" applyAlignment="1">
      <alignment horizontal="left"/>
    </xf>
    <xf numFmtId="165" fontId="9" fillId="10" borderId="1" xfId="0" applyNumberFormat="1" applyFont="1" applyFill="1" applyBorder="1" applyAlignment="1">
      <alignment/>
    </xf>
    <xf numFmtId="164" fontId="9" fillId="10" borderId="1" xfId="0" applyNumberFormat="1" applyFont="1" applyFill="1" applyBorder="1" applyAlignment="1">
      <alignment/>
    </xf>
    <xf numFmtId="2" fontId="9" fillId="10" borderId="1" xfId="0" applyNumberFormat="1" applyFont="1" applyFill="1" applyBorder="1" applyAlignment="1">
      <alignment/>
    </xf>
    <xf numFmtId="10" fontId="9" fillId="10" borderId="1" xfId="0" applyNumberFormat="1" applyFont="1" applyFill="1" applyBorder="1" applyAlignment="1">
      <alignment/>
    </xf>
    <xf numFmtId="0" fontId="9" fillId="10" borderId="1" xfId="0" applyFont="1" applyFill="1" applyBorder="1" applyAlignment="1">
      <alignment/>
    </xf>
    <xf numFmtId="0" fontId="9" fillId="10" borderId="47" xfId="0" applyNumberFormat="1" applyFont="1" applyFill="1" applyBorder="1" applyAlignment="1">
      <alignment/>
    </xf>
    <xf numFmtId="0" fontId="0" fillId="10" borderId="1" xfId="0" applyFont="1" applyFill="1" applyBorder="1" applyAlignment="1">
      <alignment wrapText="1"/>
    </xf>
    <xf numFmtId="0" fontId="9" fillId="10" borderId="1" xfId="0" applyNumberFormat="1" applyFont="1" applyFill="1" applyBorder="1" applyAlignment="1">
      <alignment/>
    </xf>
    <xf numFmtId="49" fontId="0" fillId="10" borderId="1" xfId="0" applyNumberFormat="1" applyFill="1" applyBorder="1" applyAlignment="1">
      <alignment horizontal="left"/>
    </xf>
    <xf numFmtId="0" fontId="0" fillId="10" borderId="1" xfId="0" applyFont="1" applyFill="1" applyBorder="1" applyAlignment="1">
      <alignment vertical="center" wrapText="1"/>
    </xf>
    <xf numFmtId="0" fontId="0" fillId="10" borderId="1" xfId="0" applyFill="1" applyBorder="1" applyAlignment="1">
      <alignment horizontal="left"/>
    </xf>
    <xf numFmtId="0" fontId="9" fillId="10" borderId="1" xfId="0" applyFont="1" applyFill="1" applyBorder="1" applyAlignment="1">
      <alignment horizontal="left"/>
    </xf>
    <xf numFmtId="0" fontId="9" fillId="10" borderId="30" xfId="0" applyNumberFormat="1" applyFont="1" applyFill="1" applyBorder="1" applyAlignment="1">
      <alignment/>
    </xf>
    <xf numFmtId="0" fontId="0" fillId="10" borderId="1" xfId="0" applyFill="1" applyBorder="1" applyAlignment="1">
      <alignment wrapText="1"/>
    </xf>
    <xf numFmtId="0" fontId="0" fillId="10" borderId="1" xfId="0" applyFont="1" applyFill="1" applyBorder="1" applyAlignment="1">
      <alignment horizontal="left"/>
    </xf>
    <xf numFmtId="0" fontId="0" fillId="10" borderId="1" xfId="0" applyFont="1" applyFill="1" applyBorder="1" applyAlignment="1">
      <alignment horizontal="left" wrapText="1"/>
    </xf>
    <xf numFmtId="49" fontId="0" fillId="10" borderId="1" xfId="0" applyNumberFormat="1" applyFont="1" applyFill="1" applyBorder="1" applyAlignment="1">
      <alignment/>
    </xf>
    <xf numFmtId="0" fontId="4" fillId="10" borderId="1" xfId="0" applyFont="1" applyFill="1" applyBorder="1" applyAlignment="1">
      <alignment horizontal="left"/>
    </xf>
    <xf numFmtId="0" fontId="0" fillId="0" borderId="50" xfId="0" applyBorder="1" applyAlignment="1">
      <alignment horizontal="right"/>
    </xf>
    <xf numFmtId="0" fontId="0" fillId="0" borderId="8" xfId="0" applyNumberFormat="1" applyBorder="1" applyAlignment="1">
      <alignment/>
    </xf>
    <xf numFmtId="0" fontId="0" fillId="0" borderId="4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2" fillId="2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8" xfId="0" applyNumberFormat="1" applyBorder="1" applyAlignment="1">
      <alignment wrapText="1"/>
    </xf>
    <xf numFmtId="0" fontId="4" fillId="7" borderId="10" xfId="0" applyFont="1" applyFill="1" applyBorder="1" applyAlignment="1">
      <alignment/>
    </xf>
    <xf numFmtId="0" fontId="4" fillId="7" borderId="11" xfId="0" applyFont="1" applyFill="1" applyBorder="1" applyAlignment="1">
      <alignment/>
    </xf>
    <xf numFmtId="0" fontId="4" fillId="7" borderId="11" xfId="0" applyFont="1" applyFill="1" applyBorder="1" applyAlignment="1">
      <alignment horizontal="center"/>
    </xf>
    <xf numFmtId="49" fontId="7" fillId="7" borderId="11" xfId="0" applyNumberFormat="1" applyFont="1" applyFill="1" applyBorder="1" applyAlignment="1">
      <alignment wrapText="1"/>
    </xf>
    <xf numFmtId="0" fontId="4" fillId="7" borderId="53" xfId="0" applyFont="1" applyFill="1" applyBorder="1" applyAlignment="1">
      <alignment horizontal="center"/>
    </xf>
    <xf numFmtId="0" fontId="9" fillId="2" borderId="47" xfId="0" applyNumberFormat="1" applyFont="1" applyFill="1" applyBorder="1" applyAlignment="1">
      <alignment/>
    </xf>
    <xf numFmtId="49" fontId="0" fillId="2" borderId="1" xfId="0" applyNumberForma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right"/>
    </xf>
    <xf numFmtId="49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right"/>
    </xf>
    <xf numFmtId="0" fontId="0" fillId="10" borderId="1" xfId="0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0" fontId="4" fillId="3" borderId="8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/>
    </xf>
    <xf numFmtId="165" fontId="4" fillId="3" borderId="8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0" fillId="2" borderId="8" xfId="0" applyFont="1" applyFill="1" applyBorder="1" applyAlignment="1">
      <alignment/>
    </xf>
    <xf numFmtId="165" fontId="0" fillId="2" borderId="8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horizontal="right"/>
    </xf>
    <xf numFmtId="0" fontId="11" fillId="8" borderId="54" xfId="0" applyFont="1" applyFill="1" applyBorder="1" applyAlignment="1">
      <alignment/>
    </xf>
    <xf numFmtId="0" fontId="0" fillId="8" borderId="54" xfId="0" applyFill="1" applyBorder="1" applyAlignment="1">
      <alignment/>
    </xf>
    <xf numFmtId="165" fontId="8" fillId="8" borderId="54" xfId="0" applyNumberFormat="1" applyFont="1" applyFill="1" applyBorder="1" applyAlignment="1">
      <alignment/>
    </xf>
    <xf numFmtId="164" fontId="8" fillId="8" borderId="54" xfId="0" applyNumberFormat="1" applyFont="1" applyFill="1" applyBorder="1" applyAlignment="1">
      <alignment/>
    </xf>
    <xf numFmtId="2" fontId="4" fillId="8" borderId="54" xfId="0" applyNumberFormat="1" applyFont="1" applyFill="1" applyBorder="1" applyAlignment="1">
      <alignment/>
    </xf>
    <xf numFmtId="10" fontId="4" fillId="8" borderId="54" xfId="0" applyNumberFormat="1" applyFont="1" applyFill="1" applyBorder="1" applyAlignment="1">
      <alignment/>
    </xf>
    <xf numFmtId="0" fontId="4" fillId="8" borderId="54" xfId="0" applyFont="1" applyFill="1" applyBorder="1" applyAlignment="1">
      <alignment/>
    </xf>
    <xf numFmtId="0" fontId="4" fillId="8" borderId="54" xfId="0" applyNumberFormat="1" applyFont="1" applyFill="1" applyBorder="1" applyAlignment="1">
      <alignment/>
    </xf>
    <xf numFmtId="0" fontId="4" fillId="8" borderId="21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55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38" xfId="0" applyBorder="1" applyAlignment="1">
      <alignment horizontal="center"/>
    </xf>
    <xf numFmtId="49" fontId="0" fillId="0" borderId="56" xfId="0" applyNumberFormat="1" applyBorder="1" applyAlignment="1">
      <alignment/>
    </xf>
    <xf numFmtId="0" fontId="0" fillId="0" borderId="31" xfId="0" applyBorder="1" applyAlignment="1">
      <alignment horizontal="center"/>
    </xf>
    <xf numFmtId="49" fontId="0" fillId="0" borderId="57" xfId="0" applyNumberFormat="1" applyBorder="1" applyAlignment="1">
      <alignment/>
    </xf>
    <xf numFmtId="49" fontId="0" fillId="0" borderId="58" xfId="0" applyNumberForma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57" xfId="0" applyBorder="1" applyAlignment="1">
      <alignment wrapText="1"/>
    </xf>
    <xf numFmtId="0" fontId="4" fillId="0" borderId="31" xfId="0" applyFont="1" applyBorder="1" applyAlignment="1">
      <alignment horizontal="center"/>
    </xf>
    <xf numFmtId="0" fontId="4" fillId="0" borderId="57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57" xfId="0" applyFont="1" applyBorder="1" applyAlignment="1">
      <alignment/>
    </xf>
    <xf numFmtId="0" fontId="0" fillId="0" borderId="37" xfId="0" applyBorder="1" applyAlignment="1">
      <alignment horizontal="center"/>
    </xf>
    <xf numFmtId="49" fontId="0" fillId="0" borderId="59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39" xfId="0" applyBorder="1" applyAlignment="1">
      <alignment horizontal="center"/>
    </xf>
    <xf numFmtId="49" fontId="0" fillId="0" borderId="51" xfId="0" applyNumberFormat="1" applyBorder="1" applyAlignment="1">
      <alignment/>
    </xf>
    <xf numFmtId="0" fontId="0" fillId="0" borderId="7" xfId="0" applyBorder="1" applyAlignment="1">
      <alignment horizontal="right"/>
    </xf>
    <xf numFmtId="0" fontId="4" fillId="3" borderId="8" xfId="0" applyFont="1" applyFill="1" applyBorder="1" applyAlignment="1">
      <alignment horizontal="right"/>
    </xf>
    <xf numFmtId="0" fontId="4" fillId="3" borderId="8" xfId="0" applyFont="1" applyFill="1" applyBorder="1" applyAlignment="1">
      <alignment/>
    </xf>
    <xf numFmtId="165" fontId="4" fillId="3" borderId="8" xfId="0" applyNumberFormat="1" applyFont="1" applyFill="1" applyBorder="1" applyAlignment="1">
      <alignment horizontal="right"/>
    </xf>
    <xf numFmtId="0" fontId="10" fillId="10" borderId="1" xfId="0" applyFont="1" applyFill="1" applyBorder="1" applyAlignment="1">
      <alignment wrapText="1"/>
    </xf>
    <xf numFmtId="0" fontId="7" fillId="6" borderId="47" xfId="0" applyNumberFormat="1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60" xfId="0" applyFont="1" applyBorder="1" applyAlignment="1">
      <alignment wrapText="1"/>
    </xf>
    <xf numFmtId="0" fontId="0" fillId="0" borderId="61" xfId="0" applyFont="1" applyBorder="1" applyAlignment="1">
      <alignment/>
    </xf>
    <xf numFmtId="0" fontId="4" fillId="0" borderId="6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8" xfId="0" applyFont="1" applyBorder="1" applyAlignment="1" applyProtection="1">
      <alignment horizontal="center" vertical="center"/>
      <protection/>
    </xf>
    <xf numFmtId="0" fontId="0" fillId="2" borderId="1" xfId="0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/>
    </xf>
    <xf numFmtId="0" fontId="0" fillId="10" borderId="16" xfId="0" applyFont="1" applyFill="1" applyBorder="1" applyAlignment="1">
      <alignment horizontal="right"/>
    </xf>
    <xf numFmtId="0" fontId="4" fillId="10" borderId="16" xfId="0" applyFont="1" applyFill="1" applyBorder="1" applyAlignment="1">
      <alignment horizontal="right"/>
    </xf>
    <xf numFmtId="0" fontId="0" fillId="10" borderId="16" xfId="0" applyFill="1" applyBorder="1" applyAlignment="1">
      <alignment horizontal="right"/>
    </xf>
    <xf numFmtId="0" fontId="9" fillId="2" borderId="30" xfId="0" applyNumberFormat="1" applyFont="1" applyFill="1" applyBorder="1" applyAlignment="1">
      <alignment/>
    </xf>
    <xf numFmtId="0" fontId="9" fillId="10" borderId="42" xfId="0" applyFont="1" applyFill="1" applyBorder="1" applyAlignment="1">
      <alignment/>
    </xf>
    <xf numFmtId="0" fontId="9" fillId="0" borderId="42" xfId="0" applyNumberFormat="1" applyFont="1" applyBorder="1" applyAlignment="1">
      <alignment/>
    </xf>
    <xf numFmtId="0" fontId="9" fillId="10" borderId="42" xfId="0" applyNumberFormat="1" applyFont="1" applyFill="1" applyBorder="1" applyAlignment="1">
      <alignment/>
    </xf>
    <xf numFmtId="0" fontId="9" fillId="10" borderId="25" xfId="0" applyNumberFormat="1" applyFont="1" applyFill="1" applyBorder="1" applyAlignment="1">
      <alignment/>
    </xf>
    <xf numFmtId="0" fontId="4" fillId="0" borderId="8" xfId="0" applyFont="1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vertical="center"/>
      <protection/>
    </xf>
    <xf numFmtId="0" fontId="4" fillId="6" borderId="15" xfId="0" applyFont="1" applyFill="1" applyBorder="1" applyAlignment="1">
      <alignment horizontal="right"/>
    </xf>
    <xf numFmtId="0" fontId="4" fillId="6" borderId="5" xfId="0" applyFont="1" applyFill="1" applyBorder="1" applyAlignment="1">
      <alignment/>
    </xf>
    <xf numFmtId="49" fontId="4" fillId="6" borderId="5" xfId="0" applyNumberFormat="1" applyFont="1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9" fillId="6" borderId="5" xfId="0" applyFont="1" applyFill="1" applyBorder="1" applyAlignment="1">
      <alignment horizontal="left"/>
    </xf>
    <xf numFmtId="165" fontId="9" fillId="6" borderId="5" xfId="0" applyNumberFormat="1" applyFont="1" applyFill="1" applyBorder="1" applyAlignment="1">
      <alignment/>
    </xf>
    <xf numFmtId="164" fontId="9" fillId="6" borderId="5" xfId="0" applyNumberFormat="1" applyFont="1" applyFill="1" applyBorder="1" applyAlignment="1">
      <alignment/>
    </xf>
    <xf numFmtId="2" fontId="9" fillId="6" borderId="5" xfId="0" applyNumberFormat="1" applyFont="1" applyFill="1" applyBorder="1" applyAlignment="1">
      <alignment/>
    </xf>
    <xf numFmtId="10" fontId="9" fillId="6" borderId="5" xfId="0" applyNumberFormat="1" applyFont="1" applyFill="1" applyBorder="1" applyAlignment="1">
      <alignment/>
    </xf>
    <xf numFmtId="0" fontId="9" fillId="6" borderId="5" xfId="0" applyFont="1" applyFill="1" applyBorder="1" applyAlignment="1">
      <alignment/>
    </xf>
    <xf numFmtId="0" fontId="7" fillId="6" borderId="5" xfId="0" applyFont="1" applyFill="1" applyBorder="1" applyAlignment="1">
      <alignment/>
    </xf>
    <xf numFmtId="0" fontId="7" fillId="6" borderId="63" xfId="0" applyFont="1" applyFill="1" applyBorder="1" applyAlignment="1">
      <alignment/>
    </xf>
    <xf numFmtId="0" fontId="4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64" xfId="0" applyFont="1" applyBorder="1" applyAlignment="1" applyProtection="1">
      <alignment horizontal="center"/>
      <protection/>
    </xf>
    <xf numFmtId="49" fontId="19" fillId="2" borderId="1" xfId="0" applyNumberFormat="1" applyFont="1" applyFill="1" applyBorder="1" applyAlignment="1">
      <alignment/>
    </xf>
    <xf numFmtId="0" fontId="19" fillId="2" borderId="1" xfId="0" applyFont="1" applyFill="1" applyBorder="1" applyAlignment="1">
      <alignment/>
    </xf>
    <xf numFmtId="0" fontId="20" fillId="2" borderId="1" xfId="0" applyFont="1" applyFill="1" applyBorder="1" applyAlignment="1">
      <alignment/>
    </xf>
    <xf numFmtId="49" fontId="0" fillId="2" borderId="1" xfId="0" applyNumberFormat="1" applyFont="1" applyFill="1" applyBorder="1" applyAlignment="1">
      <alignment horizontal="right"/>
    </xf>
    <xf numFmtId="49" fontId="0" fillId="0" borderId="1" xfId="0" applyNumberFormat="1" applyBorder="1" applyAlignment="1">
      <alignment horizontal="right"/>
    </xf>
    <xf numFmtId="49" fontId="4" fillId="3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 wrapText="1"/>
    </xf>
    <xf numFmtId="1" fontId="4" fillId="3" borderId="1" xfId="0" applyNumberFormat="1" applyFont="1" applyFill="1" applyBorder="1" applyAlignment="1">
      <alignment horizontal="right"/>
    </xf>
    <xf numFmtId="1" fontId="0" fillId="2" borderId="1" xfId="0" applyNumberFormat="1" applyFont="1" applyFill="1" applyBorder="1" applyAlignment="1">
      <alignment horizontal="right"/>
    </xf>
    <xf numFmtId="1" fontId="0" fillId="0" borderId="1" xfId="0" applyNumberFormat="1" applyFont="1" applyBorder="1" applyAlignment="1">
      <alignment/>
    </xf>
    <xf numFmtId="0" fontId="10" fillId="0" borderId="65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49" xfId="0" applyBorder="1" applyAlignment="1">
      <alignment horizontal="left"/>
    </xf>
    <xf numFmtId="0" fontId="4" fillId="0" borderId="1" xfId="0" applyFont="1" applyBorder="1" applyAlignment="1" applyProtection="1">
      <alignment horizontal="left" vertical="center" wrapText="1"/>
      <protection/>
    </xf>
    <xf numFmtId="0" fontId="4" fillId="0" borderId="8" xfId="0" applyFont="1" applyBorder="1" applyAlignment="1" applyProtection="1">
      <alignment horizontal="left" vertical="center" wrapText="1"/>
      <protection/>
    </xf>
    <xf numFmtId="0" fontId="10" fillId="0" borderId="6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8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0" fillId="0" borderId="55" xfId="0" applyBorder="1" applyAlignment="1">
      <alignment horizontal="left"/>
    </xf>
    <xf numFmtId="0" fontId="0" fillId="0" borderId="66" xfId="0" applyBorder="1" applyAlignment="1">
      <alignment horizontal="left"/>
    </xf>
    <xf numFmtId="49" fontId="0" fillId="0" borderId="24" xfId="0" applyNumberFormat="1" applyBorder="1" applyAlignment="1">
      <alignment horizontal="left"/>
    </xf>
    <xf numFmtId="49" fontId="0" fillId="0" borderId="58" xfId="0" applyNumberFormat="1" applyBorder="1" applyAlignment="1">
      <alignment horizontal="left"/>
    </xf>
    <xf numFmtId="49" fontId="0" fillId="0" borderId="27" xfId="0" applyNumberFormat="1" applyBorder="1" applyAlignment="1">
      <alignment horizontal="left"/>
    </xf>
    <xf numFmtId="49" fontId="0" fillId="0" borderId="30" xfId="0" applyNumberFormat="1" applyBorder="1" applyAlignment="1">
      <alignment horizontal="left" wrapText="1"/>
    </xf>
    <xf numFmtId="49" fontId="0" fillId="0" borderId="57" xfId="0" applyNumberFormat="1" applyBorder="1" applyAlignment="1">
      <alignment horizontal="left" wrapText="1"/>
    </xf>
    <xf numFmtId="49" fontId="0" fillId="0" borderId="25" xfId="0" applyNumberFormat="1" applyBorder="1" applyAlignment="1">
      <alignment horizontal="left" wrapText="1"/>
    </xf>
    <xf numFmtId="49" fontId="0" fillId="0" borderId="30" xfId="0" applyNumberFormat="1" applyBorder="1" applyAlignment="1">
      <alignment/>
    </xf>
    <xf numFmtId="49" fontId="0" fillId="0" borderId="57" xfId="0" applyNumberFormat="1" applyBorder="1" applyAlignment="1">
      <alignment/>
    </xf>
    <xf numFmtId="49" fontId="0" fillId="0" borderId="25" xfId="0" applyNumberFormat="1" applyBorder="1" applyAlignment="1">
      <alignment/>
    </xf>
    <xf numFmtId="0" fontId="0" fillId="0" borderId="67" xfId="0" applyBorder="1" applyAlignment="1">
      <alignment/>
    </xf>
    <xf numFmtId="0" fontId="0" fillId="0" borderId="56" xfId="0" applyBorder="1" applyAlignment="1">
      <alignment/>
    </xf>
    <xf numFmtId="0" fontId="0" fillId="0" borderId="68" xfId="0" applyBorder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0" fillId="2" borderId="0" xfId="0" applyFill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68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69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70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15" fillId="2" borderId="65" xfId="0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10" fillId="2" borderId="30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10" fillId="2" borderId="2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0" fillId="2" borderId="7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2" fillId="9" borderId="28" xfId="0" applyFont="1" applyFill="1" applyBorder="1" applyAlignment="1">
      <alignment horizontal="left"/>
    </xf>
    <xf numFmtId="0" fontId="12" fillId="9" borderId="5" xfId="0" applyFont="1" applyFill="1" applyBorder="1" applyAlignment="1">
      <alignment horizontal="left"/>
    </xf>
    <xf numFmtId="0" fontId="12" fillId="9" borderId="25" xfId="0" applyFont="1" applyFill="1" applyBorder="1" applyAlignment="1">
      <alignment horizontal="left"/>
    </xf>
    <xf numFmtId="0" fontId="12" fillId="9" borderId="1" xfId="0" applyFont="1" applyFill="1" applyBorder="1" applyAlignment="1">
      <alignment horizontal="left"/>
    </xf>
    <xf numFmtId="0" fontId="12" fillId="0" borderId="30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0" fontId="12" fillId="0" borderId="25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25" xfId="0" applyFont="1" applyBorder="1" applyAlignment="1">
      <alignment horizontal="left" wrapText="1"/>
    </xf>
    <xf numFmtId="0" fontId="4" fillId="6" borderId="1" xfId="0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4" fillId="0" borderId="38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6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5" fillId="5" borderId="49" xfId="0" applyFont="1" applyFill="1" applyBorder="1" applyAlignment="1">
      <alignment horizontal="center"/>
    </xf>
    <xf numFmtId="0" fontId="5" fillId="5" borderId="55" xfId="0" applyFont="1" applyFill="1" applyBorder="1" applyAlignment="1">
      <alignment horizontal="center"/>
    </xf>
    <xf numFmtId="0" fontId="5" fillId="5" borderId="66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0" fillId="0" borderId="49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5" fillId="0" borderId="25" xfId="0" applyFont="1" applyBorder="1" applyAlignment="1">
      <alignment horizontal="center" wrapText="1"/>
    </xf>
    <xf numFmtId="0" fontId="4" fillId="0" borderId="5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 wrapText="1"/>
    </xf>
    <xf numFmtId="0" fontId="16" fillId="6" borderId="21" xfId="0" applyFont="1" applyFill="1" applyBorder="1" applyAlignment="1">
      <alignment horizontal="center" vertical="center" wrapText="1"/>
    </xf>
    <xf numFmtId="0" fontId="4" fillId="6" borderId="55" xfId="0" applyFont="1" applyFill="1" applyBorder="1" applyAlignment="1">
      <alignment horizontal="center"/>
    </xf>
    <xf numFmtId="0" fontId="4" fillId="6" borderId="64" xfId="0" applyFont="1" applyFill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2" borderId="67" xfId="0" applyFont="1" applyFill="1" applyBorder="1" applyAlignment="1">
      <alignment horizontal="center" wrapText="1"/>
    </xf>
    <xf numFmtId="0" fontId="4" fillId="2" borderId="73" xfId="0" applyFont="1" applyFill="1" applyBorder="1" applyAlignment="1">
      <alignment horizontal="center" wrapText="1"/>
    </xf>
    <xf numFmtId="0" fontId="4" fillId="2" borderId="52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9"/>
  <sheetViews>
    <sheetView workbookViewId="0" topLeftCell="A1">
      <selection activeCell="W3" sqref="W3"/>
    </sheetView>
  </sheetViews>
  <sheetFormatPr defaultColWidth="9.00390625" defaultRowHeight="12.75"/>
  <cols>
    <col min="1" max="1" width="4.375" style="81" customWidth="1"/>
    <col min="2" max="2" width="30.25390625" style="0" customWidth="1"/>
    <col min="3" max="3" width="6.75390625" style="0" customWidth="1"/>
    <col min="4" max="4" width="8.375" style="0" customWidth="1"/>
    <col min="5" max="5" width="7.625" style="0" customWidth="1"/>
    <col min="6" max="6" width="0.12890625" style="0" hidden="1" customWidth="1"/>
    <col min="7" max="7" width="11.75390625" style="0" hidden="1" customWidth="1"/>
    <col min="8" max="8" width="8.25390625" style="0" hidden="1" customWidth="1"/>
    <col min="9" max="9" width="9.375" style="0" hidden="1" customWidth="1"/>
    <col min="10" max="10" width="1.12109375" style="0" hidden="1" customWidth="1"/>
    <col min="11" max="11" width="12.00390625" style="0" hidden="1" customWidth="1"/>
    <col min="12" max="12" width="0.12890625" style="0" hidden="1" customWidth="1"/>
    <col min="13" max="13" width="13.375" style="0" hidden="1" customWidth="1"/>
    <col min="14" max="14" width="10.875" style="0" hidden="1" customWidth="1"/>
    <col min="15" max="15" width="10.75390625" style="0" hidden="1" customWidth="1"/>
    <col min="16" max="16" width="11.00390625" style="0" hidden="1" customWidth="1"/>
    <col min="17" max="17" width="10.875" style="0" hidden="1" customWidth="1"/>
    <col min="18" max="18" width="3.00390625" style="0" hidden="1" customWidth="1"/>
    <col min="19" max="20" width="13.00390625" style="0" customWidth="1"/>
    <col min="21" max="21" width="11.625" style="0" customWidth="1"/>
    <col min="22" max="22" width="12.875" style="0" customWidth="1"/>
  </cols>
  <sheetData>
    <row r="1" spans="1:22" s="146" customFormat="1" ht="15.75" customHeight="1">
      <c r="A1" s="151"/>
      <c r="C1" s="518" t="s">
        <v>769</v>
      </c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</row>
    <row r="2" spans="1:22" s="146" customFormat="1" ht="12.75" customHeight="1">
      <c r="A2" s="151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</row>
    <row r="3" spans="1:22" s="146" customFormat="1" ht="23.25" customHeight="1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</row>
    <row r="4" spans="1:22" s="247" customFormat="1" ht="24" customHeight="1">
      <c r="A4" s="250" t="s">
        <v>59</v>
      </c>
      <c r="B4" s="249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</row>
    <row r="5" spans="1:22" s="146" customFormat="1" ht="8.25" customHeight="1" thickBot="1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</row>
    <row r="6" spans="1:22" s="146" customFormat="1" ht="13.5" customHeight="1">
      <c r="A6" s="534" t="s">
        <v>595</v>
      </c>
      <c r="B6" s="537" t="s">
        <v>204</v>
      </c>
      <c r="C6" s="537" t="s">
        <v>542</v>
      </c>
      <c r="D6" s="537"/>
      <c r="E6" s="537"/>
      <c r="F6" s="264"/>
      <c r="G6" s="264"/>
      <c r="H6" s="264"/>
      <c r="I6" s="264"/>
      <c r="J6" s="263"/>
      <c r="K6" s="265"/>
      <c r="L6" s="265"/>
      <c r="M6" s="537" t="s">
        <v>598</v>
      </c>
      <c r="N6" s="530" t="s">
        <v>85</v>
      </c>
      <c r="O6" s="530"/>
      <c r="P6" s="531" t="s">
        <v>121</v>
      </c>
      <c r="Q6" s="525" t="s">
        <v>196</v>
      </c>
      <c r="R6" s="525" t="s">
        <v>197</v>
      </c>
      <c r="S6" s="531" t="s">
        <v>617</v>
      </c>
      <c r="T6" s="532" t="s">
        <v>196</v>
      </c>
      <c r="U6" s="522" t="s">
        <v>197</v>
      </c>
      <c r="V6" s="522" t="s">
        <v>32</v>
      </c>
    </row>
    <row r="7" spans="1:23" s="146" customFormat="1" ht="18.75" customHeight="1">
      <c r="A7" s="535"/>
      <c r="B7" s="528"/>
      <c r="C7" s="528"/>
      <c r="D7" s="528"/>
      <c r="E7" s="528"/>
      <c r="F7" s="520" t="s">
        <v>704</v>
      </c>
      <c r="G7" s="523" t="s">
        <v>209</v>
      </c>
      <c r="H7" s="523" t="s">
        <v>705</v>
      </c>
      <c r="I7" s="148" t="s">
        <v>706</v>
      </c>
      <c r="J7" s="147"/>
      <c r="K7" s="523" t="s">
        <v>707</v>
      </c>
      <c r="L7" s="523" t="s">
        <v>708</v>
      </c>
      <c r="M7" s="528"/>
      <c r="N7" s="523" t="s">
        <v>83</v>
      </c>
      <c r="O7" s="523" t="s">
        <v>84</v>
      </c>
      <c r="P7" s="523"/>
      <c r="Q7" s="526"/>
      <c r="R7" s="526"/>
      <c r="S7" s="523"/>
      <c r="T7" s="533"/>
      <c r="U7" s="517"/>
      <c r="V7" s="517"/>
      <c r="W7" s="279"/>
    </row>
    <row r="8" spans="1:23" s="146" customFormat="1" ht="7.5" customHeight="1">
      <c r="A8" s="535"/>
      <c r="B8" s="528"/>
      <c r="C8" s="528"/>
      <c r="D8" s="528"/>
      <c r="E8" s="528"/>
      <c r="F8" s="520"/>
      <c r="G8" s="523"/>
      <c r="H8" s="523"/>
      <c r="I8" s="523" t="s">
        <v>709</v>
      </c>
      <c r="J8" s="149"/>
      <c r="K8" s="523"/>
      <c r="L8" s="523"/>
      <c r="M8" s="528"/>
      <c r="N8" s="523"/>
      <c r="O8" s="523"/>
      <c r="P8" s="523"/>
      <c r="Q8" s="526"/>
      <c r="R8" s="526"/>
      <c r="S8" s="523"/>
      <c r="T8" s="533"/>
      <c r="U8" s="517"/>
      <c r="V8" s="517"/>
      <c r="W8" s="279"/>
    </row>
    <row r="9" spans="1:22" s="279" customFormat="1" ht="19.5" customHeight="1" thickBot="1">
      <c r="A9" s="536"/>
      <c r="B9" s="476" t="s">
        <v>710</v>
      </c>
      <c r="C9" s="476" t="s">
        <v>711</v>
      </c>
      <c r="D9" s="488" t="s">
        <v>548</v>
      </c>
      <c r="E9" s="476" t="s">
        <v>206</v>
      </c>
      <c r="F9" s="521"/>
      <c r="G9" s="524"/>
      <c r="H9" s="524"/>
      <c r="I9" s="524"/>
      <c r="J9" s="489"/>
      <c r="K9" s="524"/>
      <c r="L9" s="524"/>
      <c r="M9" s="529"/>
      <c r="N9" s="524"/>
      <c r="O9" s="524"/>
      <c r="P9" s="524"/>
      <c r="Q9" s="527"/>
      <c r="R9" s="527"/>
      <c r="S9" s="524"/>
      <c r="T9" s="533"/>
      <c r="U9" s="517"/>
      <c r="V9" s="517"/>
    </row>
    <row r="10" spans="1:22" s="279" customFormat="1" ht="13.5" thickBot="1">
      <c r="A10" s="502">
        <v>1</v>
      </c>
      <c r="B10" s="503">
        <v>2</v>
      </c>
      <c r="C10" s="503">
        <v>3</v>
      </c>
      <c r="D10" s="503">
        <v>4</v>
      </c>
      <c r="E10" s="503">
        <v>5</v>
      </c>
      <c r="F10" s="503">
        <v>6</v>
      </c>
      <c r="G10" s="503">
        <v>6</v>
      </c>
      <c r="H10" s="503">
        <v>8</v>
      </c>
      <c r="I10" s="503">
        <v>9</v>
      </c>
      <c r="J10" s="504"/>
      <c r="K10" s="503">
        <v>7</v>
      </c>
      <c r="L10" s="503">
        <v>8</v>
      </c>
      <c r="M10" s="503">
        <v>6</v>
      </c>
      <c r="N10" s="503">
        <v>7</v>
      </c>
      <c r="O10" s="503">
        <v>8</v>
      </c>
      <c r="P10" s="503">
        <v>6</v>
      </c>
      <c r="Q10" s="503">
        <v>7</v>
      </c>
      <c r="R10" s="503">
        <v>8</v>
      </c>
      <c r="S10" s="503">
        <v>6</v>
      </c>
      <c r="T10" s="505">
        <v>7</v>
      </c>
      <c r="U10" s="503">
        <v>8</v>
      </c>
      <c r="V10" s="506">
        <v>9</v>
      </c>
    </row>
    <row r="11" spans="1:27" ht="17.25" customHeight="1">
      <c r="A11" s="490" t="s">
        <v>607</v>
      </c>
      <c r="B11" s="491" t="s">
        <v>712</v>
      </c>
      <c r="C11" s="492" t="s">
        <v>215</v>
      </c>
      <c r="D11" s="493"/>
      <c r="E11" s="494"/>
      <c r="F11" s="495" t="e">
        <f>F12+#REF!</f>
        <v>#REF!</v>
      </c>
      <c r="G11" s="496" t="e">
        <f>G12+#REF!</f>
        <v>#REF!</v>
      </c>
      <c r="H11" s="497" t="e">
        <f>IF(F11&gt;0,G11/F11*100,"")</f>
        <v>#REF!</v>
      </c>
      <c r="I11" s="498" t="e">
        <f>F11/F78</f>
        <v>#REF!</v>
      </c>
      <c r="J11" s="499"/>
      <c r="K11" s="499" t="e">
        <f>K12+#REF!</f>
        <v>#REF!</v>
      </c>
      <c r="L11" s="499" t="e">
        <f>L12+#REF!</f>
        <v>#REF!</v>
      </c>
      <c r="M11" s="500" t="e">
        <f>M12+#REF!+#REF!</f>
        <v>#REF!</v>
      </c>
      <c r="N11" s="500" t="e">
        <f>N12+#REF!+#REF!</f>
        <v>#REF!</v>
      </c>
      <c r="O11" s="500" t="e">
        <f>O12+#REF!+#REF!</f>
        <v>#REF!</v>
      </c>
      <c r="P11" s="500" t="e">
        <f>P12+#REF!+#REF!</f>
        <v>#REF!</v>
      </c>
      <c r="Q11" s="500" t="e">
        <f>Q12+#REF!+#REF!</f>
        <v>#REF!</v>
      </c>
      <c r="R11" s="500" t="e">
        <f>R12+#REF!+#REF!</f>
        <v>#REF!</v>
      </c>
      <c r="S11" s="500">
        <f>S12+S14+S16</f>
        <v>90400</v>
      </c>
      <c r="T11" s="500">
        <f>T12+T14+T16</f>
        <v>0</v>
      </c>
      <c r="U11" s="500">
        <f>U12+U14+U16</f>
        <v>0</v>
      </c>
      <c r="V11" s="501">
        <f>V12+V14+V16</f>
        <v>90400</v>
      </c>
      <c r="W11" s="35"/>
      <c r="X11" s="35"/>
      <c r="Y11" s="35"/>
      <c r="Z11" s="35"/>
      <c r="AA11" s="35"/>
    </row>
    <row r="12" spans="1:22" ht="27.75" customHeight="1">
      <c r="A12" s="480" t="s">
        <v>713</v>
      </c>
      <c r="B12" s="391" t="s">
        <v>554</v>
      </c>
      <c r="C12" s="392"/>
      <c r="D12" s="390" t="s">
        <v>261</v>
      </c>
      <c r="E12" s="386"/>
      <c r="F12" s="382">
        <v>0</v>
      </c>
      <c r="G12" s="383">
        <v>37400</v>
      </c>
      <c r="H12" s="384">
        <f>IF(F12&gt;0,G12/F12*100,"")</f>
      </c>
      <c r="I12" s="385">
        <f>F12/F78</f>
        <v>0</v>
      </c>
      <c r="J12" s="386"/>
      <c r="K12" s="386">
        <v>0</v>
      </c>
      <c r="L12" s="386">
        <v>0</v>
      </c>
      <c r="M12" s="386">
        <v>44000</v>
      </c>
      <c r="N12" s="386">
        <v>0</v>
      </c>
      <c r="O12" s="386">
        <v>0</v>
      </c>
      <c r="P12" s="386">
        <v>45000</v>
      </c>
      <c r="Q12" s="386">
        <v>0</v>
      </c>
      <c r="R12" s="386">
        <v>0</v>
      </c>
      <c r="S12" s="386">
        <f>S13</f>
        <v>30000</v>
      </c>
      <c r="T12" s="386">
        <f>T13</f>
        <v>0</v>
      </c>
      <c r="U12" s="386">
        <f>U13</f>
        <v>0</v>
      </c>
      <c r="V12" s="484">
        <f>V13</f>
        <v>30000</v>
      </c>
    </row>
    <row r="13" spans="1:22" ht="21" customHeight="1">
      <c r="A13" s="267"/>
      <c r="B13" s="119" t="s">
        <v>93</v>
      </c>
      <c r="C13" s="14"/>
      <c r="D13" s="14"/>
      <c r="E13" s="342">
        <v>2110</v>
      </c>
      <c r="F13" s="338"/>
      <c r="G13" s="339"/>
      <c r="H13" s="340"/>
      <c r="I13" s="341"/>
      <c r="J13" s="236"/>
      <c r="K13" s="236"/>
      <c r="L13" s="236"/>
      <c r="M13" s="236"/>
      <c r="N13" s="236"/>
      <c r="O13" s="236"/>
      <c r="P13" s="236"/>
      <c r="Q13" s="236"/>
      <c r="R13" s="236"/>
      <c r="S13" s="236">
        <v>30000</v>
      </c>
      <c r="T13" s="238">
        <v>0</v>
      </c>
      <c r="U13" s="236">
        <v>0</v>
      </c>
      <c r="V13" s="485">
        <f>S13+T13-U13</f>
        <v>30000</v>
      </c>
    </row>
    <row r="14" spans="1:22" ht="15" customHeight="1">
      <c r="A14" s="480" t="s">
        <v>717</v>
      </c>
      <c r="B14" s="388" t="s">
        <v>329</v>
      </c>
      <c r="C14" s="390"/>
      <c r="D14" s="390" t="s">
        <v>330</v>
      </c>
      <c r="E14" s="393"/>
      <c r="F14" s="382"/>
      <c r="G14" s="383"/>
      <c r="H14" s="384"/>
      <c r="I14" s="385"/>
      <c r="J14" s="386"/>
      <c r="K14" s="386"/>
      <c r="L14" s="386"/>
      <c r="M14" s="386"/>
      <c r="N14" s="386"/>
      <c r="O14" s="386"/>
      <c r="P14" s="386"/>
      <c r="Q14" s="386"/>
      <c r="R14" s="386"/>
      <c r="S14" s="386">
        <f>S15</f>
        <v>60000</v>
      </c>
      <c r="T14" s="386">
        <f>T15</f>
        <v>0</v>
      </c>
      <c r="U14" s="386">
        <f>U15</f>
        <v>0</v>
      </c>
      <c r="V14" s="484">
        <f>V15</f>
        <v>60000</v>
      </c>
    </row>
    <row r="15" spans="1:22" ht="21" customHeight="1">
      <c r="A15" s="267"/>
      <c r="B15" s="119" t="s">
        <v>331</v>
      </c>
      <c r="C15" s="14"/>
      <c r="D15" s="14"/>
      <c r="E15" s="342">
        <v>6260</v>
      </c>
      <c r="F15" s="338"/>
      <c r="G15" s="339"/>
      <c r="H15" s="340"/>
      <c r="I15" s="341"/>
      <c r="J15" s="236"/>
      <c r="K15" s="236"/>
      <c r="L15" s="236"/>
      <c r="M15" s="236"/>
      <c r="N15" s="236"/>
      <c r="O15" s="236"/>
      <c r="P15" s="236"/>
      <c r="Q15" s="236"/>
      <c r="R15" s="236"/>
      <c r="S15" s="236">
        <v>60000</v>
      </c>
      <c r="T15" s="238">
        <v>0</v>
      </c>
      <c r="U15" s="236"/>
      <c r="V15" s="485">
        <f>S15+T15-U15</f>
        <v>60000</v>
      </c>
    </row>
    <row r="16" spans="1:22" s="83" customFormat="1" ht="17.25" customHeight="1">
      <c r="A16" s="480" t="s">
        <v>6</v>
      </c>
      <c r="B16" s="388" t="s">
        <v>315</v>
      </c>
      <c r="C16" s="380"/>
      <c r="D16" s="380" t="s">
        <v>718</v>
      </c>
      <c r="E16" s="381"/>
      <c r="F16" s="382">
        <f>F17</f>
        <v>400</v>
      </c>
      <c r="G16" s="383">
        <f>G17</f>
        <v>400</v>
      </c>
      <c r="H16" s="384">
        <f>IF(F16&gt;0,G16/F16*100,"")</f>
        <v>100</v>
      </c>
      <c r="I16" s="385" t="e">
        <f>F16/F183</f>
        <v>#REF!</v>
      </c>
      <c r="J16" s="386"/>
      <c r="K16" s="386">
        <f aca="true" t="shared" si="0" ref="K16:V16">K17</f>
        <v>0</v>
      </c>
      <c r="L16" s="386">
        <f t="shared" si="0"/>
        <v>0</v>
      </c>
      <c r="M16" s="386">
        <f t="shared" si="0"/>
        <v>300</v>
      </c>
      <c r="N16" s="386">
        <f t="shared" si="0"/>
        <v>0</v>
      </c>
      <c r="O16" s="386">
        <f t="shared" si="0"/>
        <v>0</v>
      </c>
      <c r="P16" s="389">
        <f t="shared" si="0"/>
        <v>600</v>
      </c>
      <c r="Q16" s="389">
        <f t="shared" si="0"/>
        <v>0</v>
      </c>
      <c r="R16" s="389">
        <f t="shared" si="0"/>
        <v>0</v>
      </c>
      <c r="S16" s="389">
        <f t="shared" si="0"/>
        <v>400</v>
      </c>
      <c r="T16" s="389">
        <f t="shared" si="0"/>
        <v>0</v>
      </c>
      <c r="U16" s="389">
        <f t="shared" si="0"/>
        <v>0</v>
      </c>
      <c r="V16" s="486">
        <f t="shared" si="0"/>
        <v>400</v>
      </c>
    </row>
    <row r="17" spans="1:22" ht="19.5" customHeight="1">
      <c r="A17" s="116"/>
      <c r="B17" s="120" t="s">
        <v>719</v>
      </c>
      <c r="C17" s="14"/>
      <c r="D17" s="14"/>
      <c r="E17" s="345" t="s">
        <v>123</v>
      </c>
      <c r="F17" s="338">
        <v>400</v>
      </c>
      <c r="G17" s="339">
        <v>400</v>
      </c>
      <c r="H17" s="340">
        <f>IF(F17&gt;0,G17/F17*100,"")</f>
        <v>100</v>
      </c>
      <c r="I17" s="341" t="e">
        <f>F17/F183</f>
        <v>#REF!</v>
      </c>
      <c r="J17" s="236"/>
      <c r="K17" s="236">
        <v>0</v>
      </c>
      <c r="L17" s="236">
        <v>0</v>
      </c>
      <c r="M17" s="236">
        <v>300</v>
      </c>
      <c r="N17" s="236">
        <v>0</v>
      </c>
      <c r="O17" s="236">
        <v>0</v>
      </c>
      <c r="P17" s="236">
        <v>600</v>
      </c>
      <c r="Q17" s="236">
        <v>0</v>
      </c>
      <c r="R17" s="236">
        <v>0</v>
      </c>
      <c r="S17" s="236">
        <v>400</v>
      </c>
      <c r="T17" s="236">
        <v>0</v>
      </c>
      <c r="U17" s="236">
        <v>0</v>
      </c>
      <c r="V17" s="236">
        <v>400</v>
      </c>
    </row>
    <row r="18" spans="1:22" s="150" customFormat="1" ht="15.75" customHeight="1">
      <c r="A18" s="266" t="s">
        <v>608</v>
      </c>
      <c r="B18" s="251" t="s">
        <v>13</v>
      </c>
      <c r="C18" s="252" t="s">
        <v>262</v>
      </c>
      <c r="D18" s="252"/>
      <c r="E18" s="347"/>
      <c r="F18" s="337"/>
      <c r="G18" s="337"/>
      <c r="H18" s="348"/>
      <c r="I18" s="348"/>
      <c r="J18" s="337"/>
      <c r="K18" s="337"/>
      <c r="L18" s="337"/>
      <c r="M18" s="337"/>
      <c r="N18" s="337"/>
      <c r="O18" s="337"/>
      <c r="P18" s="349"/>
      <c r="Q18" s="349"/>
      <c r="R18" s="349"/>
      <c r="S18" s="349">
        <f aca="true" t="shared" si="1" ref="S18:V19">S19</f>
        <v>141159</v>
      </c>
      <c r="T18" s="349">
        <f t="shared" si="1"/>
        <v>0</v>
      </c>
      <c r="U18" s="349">
        <f t="shared" si="1"/>
        <v>0</v>
      </c>
      <c r="V18" s="349">
        <f t="shared" si="1"/>
        <v>141159</v>
      </c>
    </row>
    <row r="19" spans="1:22" s="269" customFormat="1" ht="15.75" customHeight="1">
      <c r="A19" s="480" t="s">
        <v>713</v>
      </c>
      <c r="B19" s="388" t="s">
        <v>118</v>
      </c>
      <c r="C19" s="380"/>
      <c r="D19" s="380" t="s">
        <v>119</v>
      </c>
      <c r="E19" s="381"/>
      <c r="F19" s="386"/>
      <c r="G19" s="386"/>
      <c r="H19" s="384"/>
      <c r="I19" s="384"/>
      <c r="J19" s="386"/>
      <c r="K19" s="386"/>
      <c r="L19" s="386"/>
      <c r="M19" s="386"/>
      <c r="N19" s="386"/>
      <c r="O19" s="386"/>
      <c r="P19" s="389"/>
      <c r="Q19" s="389"/>
      <c r="R19" s="389"/>
      <c r="S19" s="389">
        <f t="shared" si="1"/>
        <v>141159</v>
      </c>
      <c r="T19" s="389">
        <f t="shared" si="1"/>
        <v>0</v>
      </c>
      <c r="U19" s="389">
        <f t="shared" si="1"/>
        <v>0</v>
      </c>
      <c r="V19" s="487">
        <f t="shared" si="1"/>
        <v>141159</v>
      </c>
    </row>
    <row r="20" spans="1:22" s="150" customFormat="1" ht="24" customHeight="1">
      <c r="A20" s="270"/>
      <c r="B20" s="235" t="s">
        <v>562</v>
      </c>
      <c r="C20" s="271"/>
      <c r="D20" s="271"/>
      <c r="E20" s="350" t="s">
        <v>130</v>
      </c>
      <c r="F20" s="352"/>
      <c r="G20" s="352"/>
      <c r="H20" s="353"/>
      <c r="I20" s="353"/>
      <c r="J20" s="352"/>
      <c r="K20" s="352"/>
      <c r="L20" s="352"/>
      <c r="M20" s="352"/>
      <c r="N20" s="352"/>
      <c r="O20" s="352"/>
      <c r="P20" s="354"/>
      <c r="Q20" s="354"/>
      <c r="R20" s="354"/>
      <c r="S20" s="351">
        <v>141159</v>
      </c>
      <c r="T20" s="355"/>
      <c r="U20" s="354"/>
      <c r="V20" s="485">
        <f>S20+T20+-U20</f>
        <v>141159</v>
      </c>
    </row>
    <row r="21" spans="1:22" ht="18" customHeight="1">
      <c r="A21" s="266" t="s">
        <v>610</v>
      </c>
      <c r="B21" s="203" t="s">
        <v>720</v>
      </c>
      <c r="C21" s="252" t="s">
        <v>266</v>
      </c>
      <c r="D21" s="252"/>
      <c r="E21" s="347"/>
      <c r="F21" s="356" t="e">
        <f>F22</f>
        <v>#REF!</v>
      </c>
      <c r="G21" s="357" t="e">
        <f>G22</f>
        <v>#REF!</v>
      </c>
      <c r="H21" s="348" t="e">
        <f>IF(F21&gt;0,G21/F21*100,"")</f>
        <v>#REF!</v>
      </c>
      <c r="I21" s="358" t="e">
        <f>F21/F183</f>
        <v>#REF!</v>
      </c>
      <c r="J21" s="337"/>
      <c r="K21" s="337" t="e">
        <f aca="true" t="shared" si="2" ref="K21:V21">K22</f>
        <v>#REF!</v>
      </c>
      <c r="L21" s="337" t="e">
        <f t="shared" si="2"/>
        <v>#REF!</v>
      </c>
      <c r="M21" s="337" t="e">
        <f t="shared" si="2"/>
        <v>#REF!</v>
      </c>
      <c r="N21" s="337" t="e">
        <f t="shared" si="2"/>
        <v>#REF!</v>
      </c>
      <c r="O21" s="337" t="e">
        <f t="shared" si="2"/>
        <v>#REF!</v>
      </c>
      <c r="P21" s="349" t="e">
        <f t="shared" si="2"/>
        <v>#REF!</v>
      </c>
      <c r="Q21" s="349" t="e">
        <f t="shared" si="2"/>
        <v>#REF!</v>
      </c>
      <c r="R21" s="349" t="e">
        <f t="shared" si="2"/>
        <v>#REF!</v>
      </c>
      <c r="S21" s="349">
        <f t="shared" si="2"/>
        <v>4606514</v>
      </c>
      <c r="T21" s="349">
        <f t="shared" si="2"/>
        <v>8979</v>
      </c>
      <c r="U21" s="349">
        <f t="shared" si="2"/>
        <v>0</v>
      </c>
      <c r="V21" s="349">
        <f t="shared" si="2"/>
        <v>4615493</v>
      </c>
    </row>
    <row r="22" spans="1:22" s="83" customFormat="1" ht="18.75" customHeight="1">
      <c r="A22" s="480" t="s">
        <v>713</v>
      </c>
      <c r="B22" s="379" t="s">
        <v>188</v>
      </c>
      <c r="C22" s="380"/>
      <c r="D22" s="380" t="s">
        <v>268</v>
      </c>
      <c r="E22" s="381"/>
      <c r="F22" s="382" t="e">
        <f>F25+F28+#REF!</f>
        <v>#REF!</v>
      </c>
      <c r="G22" s="383" t="e">
        <f>G25+G28+#REF!+G29</f>
        <v>#REF!</v>
      </c>
      <c r="H22" s="384" t="e">
        <f>IF(F22&gt;0,G22/F22*100,"")</f>
        <v>#REF!</v>
      </c>
      <c r="I22" s="385" t="e">
        <f>F22/F183</f>
        <v>#REF!</v>
      </c>
      <c r="J22" s="386"/>
      <c r="K22" s="386" t="e">
        <f>K25+K28+#REF!+K29</f>
        <v>#REF!</v>
      </c>
      <c r="L22" s="386" t="e">
        <f>L25+L28+#REF!+L29</f>
        <v>#REF!</v>
      </c>
      <c r="M22" s="386" t="e">
        <f>M25+M28+#REF!+M29</f>
        <v>#REF!</v>
      </c>
      <c r="N22" s="386" t="e">
        <f>N25+N28+#REF!+N29</f>
        <v>#REF!</v>
      </c>
      <c r="O22" s="386" t="e">
        <f>O25+O28+#REF!+O29</f>
        <v>#REF!</v>
      </c>
      <c r="P22" s="389" t="e">
        <f>P25+P28+#REF!+P29+P24</f>
        <v>#REF!</v>
      </c>
      <c r="Q22" s="389" t="e">
        <f>Q25+Q28+#REF!+Q29+Q24</f>
        <v>#REF!</v>
      </c>
      <c r="R22" s="389" t="e">
        <f>R25+R28+#REF!+R29+R24</f>
        <v>#REF!</v>
      </c>
      <c r="S22" s="389">
        <f>S23+S24+S25+S26+S27+S28+S29+S30+S31+S32+S33</f>
        <v>4606514</v>
      </c>
      <c r="T22" s="389">
        <f>T23+T24+T25+T26+T27+T28+T29+T30+T31+T32+T33</f>
        <v>8979</v>
      </c>
      <c r="U22" s="389">
        <f>U23+U24+U25+U26+U27+U28+U29+U30+U31+U32+U33</f>
        <v>0</v>
      </c>
      <c r="V22" s="389">
        <f>V23+V24+V25+V26+V27+V28+V29+V30+V31+V32+V33</f>
        <v>4615493</v>
      </c>
    </row>
    <row r="23" spans="1:22" ht="23.25" customHeight="1">
      <c r="A23" s="116"/>
      <c r="B23" s="119" t="s">
        <v>616</v>
      </c>
      <c r="C23" s="23"/>
      <c r="D23" s="23"/>
      <c r="E23" s="345" t="s">
        <v>615</v>
      </c>
      <c r="F23" s="359"/>
      <c r="G23" s="360"/>
      <c r="H23" s="361"/>
      <c r="I23" s="362"/>
      <c r="J23" s="241"/>
      <c r="K23" s="241"/>
      <c r="L23" s="241"/>
      <c r="M23" s="241"/>
      <c r="N23" s="241"/>
      <c r="O23" s="241"/>
      <c r="P23" s="363"/>
      <c r="Q23" s="363"/>
      <c r="R23" s="363"/>
      <c r="S23" s="346">
        <v>0</v>
      </c>
      <c r="T23" s="344"/>
      <c r="U23" s="344"/>
      <c r="V23" s="343">
        <f>S23+T23+-U23</f>
        <v>0</v>
      </c>
    </row>
    <row r="24" spans="1:22" ht="14.25" customHeight="1">
      <c r="A24" s="116"/>
      <c r="B24" s="120" t="s">
        <v>719</v>
      </c>
      <c r="C24" s="23"/>
      <c r="D24" s="23"/>
      <c r="E24" s="345" t="s">
        <v>123</v>
      </c>
      <c r="F24" s="338"/>
      <c r="G24" s="339"/>
      <c r="H24" s="340"/>
      <c r="I24" s="341"/>
      <c r="J24" s="236"/>
      <c r="K24" s="236"/>
      <c r="L24" s="236"/>
      <c r="M24" s="236"/>
      <c r="N24" s="236"/>
      <c r="O24" s="236"/>
      <c r="P24" s="346">
        <v>200</v>
      </c>
      <c r="Q24" s="346">
        <v>0</v>
      </c>
      <c r="R24" s="346">
        <v>0</v>
      </c>
      <c r="S24" s="236">
        <v>0</v>
      </c>
      <c r="T24" s="238"/>
      <c r="U24" s="238"/>
      <c r="V24" s="343">
        <f aca="true" t="shared" si="3" ref="V24:V33">S24+T24+-U24</f>
        <v>0</v>
      </c>
    </row>
    <row r="25" spans="1:22" ht="22.5" customHeight="1">
      <c r="A25" s="116"/>
      <c r="B25" s="119" t="s">
        <v>721</v>
      </c>
      <c r="C25" s="14"/>
      <c r="D25" s="14"/>
      <c r="E25" s="345" t="s">
        <v>124</v>
      </c>
      <c r="F25" s="338">
        <v>17000</v>
      </c>
      <c r="G25" s="339">
        <v>18200</v>
      </c>
      <c r="H25" s="340">
        <f>IF(F25&gt;0,G25/F25*100,"")</f>
        <v>107.05882352941177</v>
      </c>
      <c r="I25" s="341" t="e">
        <f>F25/F183</f>
        <v>#REF!</v>
      </c>
      <c r="J25" s="236"/>
      <c r="K25" s="236">
        <v>0</v>
      </c>
      <c r="L25" s="236">
        <v>0</v>
      </c>
      <c r="M25" s="236">
        <v>1747</v>
      </c>
      <c r="N25" s="236">
        <v>0</v>
      </c>
      <c r="O25" s="236">
        <v>0</v>
      </c>
      <c r="P25" s="236">
        <v>2617</v>
      </c>
      <c r="Q25" s="236">
        <v>0</v>
      </c>
      <c r="R25" s="236">
        <v>0</v>
      </c>
      <c r="S25" s="236">
        <v>4216</v>
      </c>
      <c r="T25" s="238">
        <v>0</v>
      </c>
      <c r="U25" s="238"/>
      <c r="V25" s="343">
        <f t="shared" si="3"/>
        <v>4216</v>
      </c>
    </row>
    <row r="26" spans="1:22" ht="17.25" customHeight="1">
      <c r="A26" s="116"/>
      <c r="B26" s="119" t="s">
        <v>505</v>
      </c>
      <c r="C26" s="14"/>
      <c r="D26" s="14"/>
      <c r="E26" s="345" t="s">
        <v>504</v>
      </c>
      <c r="F26" s="338"/>
      <c r="G26" s="339"/>
      <c r="H26" s="340"/>
      <c r="I26" s="341"/>
      <c r="J26" s="236"/>
      <c r="K26" s="236"/>
      <c r="L26" s="236"/>
      <c r="M26" s="236"/>
      <c r="N26" s="236"/>
      <c r="O26" s="236"/>
      <c r="P26" s="236"/>
      <c r="Q26" s="236"/>
      <c r="R26" s="236"/>
      <c r="S26" s="236">
        <v>5572</v>
      </c>
      <c r="T26" s="238">
        <v>0</v>
      </c>
      <c r="U26" s="238"/>
      <c r="V26" s="343">
        <f t="shared" si="3"/>
        <v>5572</v>
      </c>
    </row>
    <row r="27" spans="1:22" ht="16.5" customHeight="1">
      <c r="A27" s="116"/>
      <c r="B27" s="119" t="s">
        <v>715</v>
      </c>
      <c r="C27" s="14"/>
      <c r="D27" s="14"/>
      <c r="E27" s="345" t="s">
        <v>122</v>
      </c>
      <c r="F27" s="338"/>
      <c r="G27" s="339"/>
      <c r="H27" s="340"/>
      <c r="I27" s="341"/>
      <c r="J27" s="236"/>
      <c r="K27" s="236"/>
      <c r="L27" s="236"/>
      <c r="M27" s="236"/>
      <c r="N27" s="236"/>
      <c r="O27" s="236"/>
      <c r="P27" s="236"/>
      <c r="Q27" s="236"/>
      <c r="R27" s="236"/>
      <c r="S27" s="236">
        <v>212</v>
      </c>
      <c r="T27" s="238">
        <v>0</v>
      </c>
      <c r="U27" s="238"/>
      <c r="V27" s="343">
        <f t="shared" si="3"/>
        <v>212</v>
      </c>
    </row>
    <row r="28" spans="1:22" ht="13.5" customHeight="1">
      <c r="A28" s="116"/>
      <c r="B28" s="120" t="s">
        <v>739</v>
      </c>
      <c r="C28" s="14"/>
      <c r="D28" s="14"/>
      <c r="E28" s="345" t="s">
        <v>126</v>
      </c>
      <c r="F28" s="338">
        <v>18000</v>
      </c>
      <c r="G28" s="339">
        <v>9400</v>
      </c>
      <c r="H28" s="340">
        <f>IF(F28&gt;0,G28/F28*100,"")</f>
        <v>52.22222222222223</v>
      </c>
      <c r="I28" s="341" t="e">
        <f>F28/F183</f>
        <v>#REF!</v>
      </c>
      <c r="J28" s="236"/>
      <c r="K28" s="236">
        <v>0</v>
      </c>
      <c r="L28" s="236">
        <v>0</v>
      </c>
      <c r="M28" s="236">
        <v>7749</v>
      </c>
      <c r="N28" s="236">
        <v>0</v>
      </c>
      <c r="O28" s="236">
        <v>0</v>
      </c>
      <c r="P28" s="236">
        <v>1700</v>
      </c>
      <c r="Q28" s="236">
        <v>0</v>
      </c>
      <c r="R28" s="236">
        <v>0</v>
      </c>
      <c r="S28" s="236">
        <v>0</v>
      </c>
      <c r="T28" s="238"/>
      <c r="U28" s="238"/>
      <c r="V28" s="343">
        <f t="shared" si="3"/>
        <v>0</v>
      </c>
    </row>
    <row r="29" spans="1:22" ht="21.75" customHeight="1">
      <c r="A29" s="116"/>
      <c r="B29" s="119" t="s">
        <v>333</v>
      </c>
      <c r="C29" s="14"/>
      <c r="D29" s="14"/>
      <c r="E29" s="345" t="s">
        <v>332</v>
      </c>
      <c r="F29" s="338"/>
      <c r="G29" s="339">
        <v>0</v>
      </c>
      <c r="H29" s="340"/>
      <c r="I29" s="341"/>
      <c r="J29" s="236"/>
      <c r="K29" s="236">
        <v>0</v>
      </c>
      <c r="L29" s="236">
        <v>0</v>
      </c>
      <c r="M29" s="236">
        <v>7304</v>
      </c>
      <c r="N29" s="236">
        <v>0</v>
      </c>
      <c r="O29" s="236">
        <v>0</v>
      </c>
      <c r="P29" s="236">
        <v>0</v>
      </c>
      <c r="Q29" s="236">
        <v>0</v>
      </c>
      <c r="R29" s="236">
        <v>0</v>
      </c>
      <c r="S29" s="236">
        <v>0</v>
      </c>
      <c r="T29" s="238">
        <v>0</v>
      </c>
      <c r="U29" s="238"/>
      <c r="V29" s="343">
        <f>S29+T29-U29</f>
        <v>0</v>
      </c>
    </row>
    <row r="30" spans="1:22" ht="24.75" customHeight="1">
      <c r="A30" s="267"/>
      <c r="B30" s="260" t="s">
        <v>171</v>
      </c>
      <c r="C30" s="27"/>
      <c r="D30" s="27"/>
      <c r="E30" s="345" t="s">
        <v>621</v>
      </c>
      <c r="F30" s="236"/>
      <c r="G30" s="236"/>
      <c r="H30" s="340"/>
      <c r="I30" s="340"/>
      <c r="J30" s="236"/>
      <c r="K30" s="236"/>
      <c r="L30" s="236"/>
      <c r="M30" s="236"/>
      <c r="N30" s="236"/>
      <c r="O30" s="236"/>
      <c r="P30" s="346"/>
      <c r="Q30" s="346"/>
      <c r="R30" s="346"/>
      <c r="S30" s="346">
        <v>3899087</v>
      </c>
      <c r="T30" s="344">
        <v>0</v>
      </c>
      <c r="U30" s="344"/>
      <c r="V30" s="343">
        <f t="shared" si="3"/>
        <v>3899087</v>
      </c>
    </row>
    <row r="31" spans="1:22" ht="24" customHeight="1">
      <c r="A31" s="267"/>
      <c r="B31" s="260" t="s">
        <v>172</v>
      </c>
      <c r="C31" s="27"/>
      <c r="D31" s="27"/>
      <c r="E31" s="345" t="s">
        <v>112</v>
      </c>
      <c r="F31" s="236"/>
      <c r="G31" s="236"/>
      <c r="H31" s="340"/>
      <c r="I31" s="340"/>
      <c r="J31" s="236"/>
      <c r="K31" s="236"/>
      <c r="L31" s="236"/>
      <c r="M31" s="236"/>
      <c r="N31" s="236"/>
      <c r="O31" s="236"/>
      <c r="P31" s="346"/>
      <c r="Q31" s="346"/>
      <c r="R31" s="346"/>
      <c r="S31" s="346">
        <v>527427</v>
      </c>
      <c r="T31" s="344">
        <v>8979</v>
      </c>
      <c r="U31" s="364"/>
      <c r="V31" s="343">
        <f t="shared" si="3"/>
        <v>536406</v>
      </c>
    </row>
    <row r="32" spans="1:22" ht="25.5" customHeight="1">
      <c r="A32" s="268"/>
      <c r="B32" s="119" t="s">
        <v>61</v>
      </c>
      <c r="C32" s="29"/>
      <c r="D32" s="46"/>
      <c r="E32" s="342">
        <v>6610</v>
      </c>
      <c r="F32" s="359"/>
      <c r="G32" s="360"/>
      <c r="H32" s="361"/>
      <c r="I32" s="362"/>
      <c r="J32" s="241"/>
      <c r="K32" s="241"/>
      <c r="L32" s="241"/>
      <c r="M32" s="241"/>
      <c r="N32" s="241"/>
      <c r="O32" s="241"/>
      <c r="P32" s="236">
        <v>60000</v>
      </c>
      <c r="Q32" s="236">
        <v>0</v>
      </c>
      <c r="R32" s="236">
        <v>0</v>
      </c>
      <c r="S32" s="365">
        <v>100000</v>
      </c>
      <c r="T32" s="366">
        <v>0</v>
      </c>
      <c r="U32" s="366"/>
      <c r="V32" s="343">
        <f t="shared" si="3"/>
        <v>100000</v>
      </c>
    </row>
    <row r="33" spans="1:22" ht="25.5" customHeight="1">
      <c r="A33" s="268"/>
      <c r="B33" s="119" t="s">
        <v>61</v>
      </c>
      <c r="C33" s="29"/>
      <c r="D33" s="46"/>
      <c r="E33" s="342">
        <v>6619</v>
      </c>
      <c r="F33" s="359"/>
      <c r="G33" s="360"/>
      <c r="H33" s="361"/>
      <c r="I33" s="362"/>
      <c r="J33" s="241"/>
      <c r="K33" s="241"/>
      <c r="L33" s="241"/>
      <c r="M33" s="241"/>
      <c r="N33" s="241"/>
      <c r="O33" s="241"/>
      <c r="P33" s="236"/>
      <c r="Q33" s="236"/>
      <c r="R33" s="236"/>
      <c r="S33" s="365">
        <v>70000</v>
      </c>
      <c r="T33" s="366"/>
      <c r="U33" s="366"/>
      <c r="V33" s="343">
        <f t="shared" si="3"/>
        <v>70000</v>
      </c>
    </row>
    <row r="34" spans="1:22" ht="25.5">
      <c r="A34" s="266" t="s">
        <v>612</v>
      </c>
      <c r="B34" s="251" t="s">
        <v>723</v>
      </c>
      <c r="C34" s="252" t="s">
        <v>280</v>
      </c>
      <c r="D34" s="254"/>
      <c r="E34" s="367"/>
      <c r="F34" s="335">
        <f>F35</f>
        <v>576998</v>
      </c>
      <c r="G34" s="357">
        <f>G35</f>
        <v>906816</v>
      </c>
      <c r="H34" s="348">
        <f>IF(F34&gt;0,G34/F34*100,"")</f>
        <v>157.1610300209013</v>
      </c>
      <c r="I34" s="358" t="e">
        <f>F34/F183</f>
        <v>#REF!</v>
      </c>
      <c r="J34" s="337"/>
      <c r="K34" s="337">
        <f aca="true" t="shared" si="4" ref="K34:R34">K35</f>
        <v>0</v>
      </c>
      <c r="L34" s="337">
        <f t="shared" si="4"/>
        <v>200000</v>
      </c>
      <c r="M34" s="337" t="e">
        <f t="shared" si="4"/>
        <v>#REF!</v>
      </c>
      <c r="N34" s="337" t="e">
        <f t="shared" si="4"/>
        <v>#REF!</v>
      </c>
      <c r="O34" s="337" t="e">
        <f t="shared" si="4"/>
        <v>#REF!</v>
      </c>
      <c r="P34" s="349" t="e">
        <f t="shared" si="4"/>
        <v>#REF!</v>
      </c>
      <c r="Q34" s="349" t="e">
        <f t="shared" si="4"/>
        <v>#REF!</v>
      </c>
      <c r="R34" s="349" t="e">
        <f t="shared" si="4"/>
        <v>#REF!</v>
      </c>
      <c r="S34" s="349">
        <f>S35</f>
        <v>1513890</v>
      </c>
      <c r="T34" s="349">
        <f>T35</f>
        <v>0</v>
      </c>
      <c r="U34" s="349">
        <f>U35</f>
        <v>0</v>
      </c>
      <c r="V34" s="349">
        <f>V35</f>
        <v>1513890</v>
      </c>
    </row>
    <row r="35" spans="1:22" ht="26.25" customHeight="1">
      <c r="A35" s="481" t="s">
        <v>713</v>
      </c>
      <c r="B35" s="388" t="s">
        <v>724</v>
      </c>
      <c r="C35" s="380"/>
      <c r="D35" s="380" t="s">
        <v>282</v>
      </c>
      <c r="E35" s="381"/>
      <c r="F35" s="382">
        <f>F38+F40</f>
        <v>576998</v>
      </c>
      <c r="G35" s="383">
        <f>G38+G40+G39</f>
        <v>906816</v>
      </c>
      <c r="H35" s="384">
        <f>IF(F35&gt;0,G35/F35*100,"")</f>
        <v>157.1610300209013</v>
      </c>
      <c r="I35" s="385" t="e">
        <f>F35/F183</f>
        <v>#REF!</v>
      </c>
      <c r="J35" s="386"/>
      <c r="K35" s="386">
        <f>K38+K40+K39</f>
        <v>0</v>
      </c>
      <c r="L35" s="386">
        <f>L38+L40+L39</f>
        <v>200000</v>
      </c>
      <c r="M35" s="386" t="e">
        <f>M38+M39+M40+#REF!+M37</f>
        <v>#REF!</v>
      </c>
      <c r="N35" s="386" t="e">
        <f>N38+N39+N40+#REF!+N37</f>
        <v>#REF!</v>
      </c>
      <c r="O35" s="386" t="e">
        <f>O38+O39+O40+#REF!+O37</f>
        <v>#REF!</v>
      </c>
      <c r="P35" s="389" t="e">
        <f>P38+P39+P40+#REF!+P37+P36</f>
        <v>#REF!</v>
      </c>
      <c r="Q35" s="389" t="e">
        <f>Q38+Q39+Q40+#REF!+Q37+Q36</f>
        <v>#REF!</v>
      </c>
      <c r="R35" s="389" t="e">
        <f>R38+R39+R40+#REF!+R37+R36</f>
        <v>#REF!</v>
      </c>
      <c r="S35" s="389">
        <f>S36+S37+S38+S39+S40+S41</f>
        <v>1513890</v>
      </c>
      <c r="T35" s="389">
        <f>T36+T37+T38+T39+T40+T41</f>
        <v>0</v>
      </c>
      <c r="U35" s="389">
        <f>U36+U37+U38+U39+U40+U41</f>
        <v>0</v>
      </c>
      <c r="V35" s="389">
        <f>V36+V37+V38+V39+V40+V41</f>
        <v>1513890</v>
      </c>
    </row>
    <row r="36" spans="1:22" ht="18.75" customHeight="1">
      <c r="A36" s="268"/>
      <c r="B36" s="120" t="s">
        <v>719</v>
      </c>
      <c r="C36" s="23"/>
      <c r="D36" s="27"/>
      <c r="E36" s="345" t="s">
        <v>123</v>
      </c>
      <c r="F36" s="338"/>
      <c r="G36" s="339"/>
      <c r="H36" s="340"/>
      <c r="I36" s="341"/>
      <c r="J36" s="236"/>
      <c r="K36" s="236"/>
      <c r="L36" s="236"/>
      <c r="M36" s="236"/>
      <c r="N36" s="236"/>
      <c r="O36" s="236"/>
      <c r="P36" s="346">
        <v>26</v>
      </c>
      <c r="Q36" s="346">
        <v>0</v>
      </c>
      <c r="R36" s="346">
        <v>0</v>
      </c>
      <c r="S36" s="236">
        <v>26</v>
      </c>
      <c r="T36" s="238"/>
      <c r="U36" s="238"/>
      <c r="V36" s="343">
        <f aca="true" t="shared" si="5" ref="V36:V41">S36+T36-U36</f>
        <v>26</v>
      </c>
    </row>
    <row r="37" spans="1:22" ht="22.5" customHeight="1">
      <c r="A37" s="267"/>
      <c r="B37" s="119" t="s">
        <v>721</v>
      </c>
      <c r="C37" s="27"/>
      <c r="D37" s="27"/>
      <c r="E37" s="345" t="s">
        <v>124</v>
      </c>
      <c r="F37" s="338"/>
      <c r="G37" s="339"/>
      <c r="H37" s="340"/>
      <c r="I37" s="341"/>
      <c r="J37" s="236"/>
      <c r="K37" s="236"/>
      <c r="L37" s="236"/>
      <c r="M37" s="236">
        <v>8213</v>
      </c>
      <c r="N37" s="236">
        <v>0</v>
      </c>
      <c r="O37" s="236">
        <v>0</v>
      </c>
      <c r="P37" s="236">
        <v>9201</v>
      </c>
      <c r="Q37" s="236">
        <v>0</v>
      </c>
      <c r="R37" s="236">
        <v>0</v>
      </c>
      <c r="S37" s="236">
        <v>5350</v>
      </c>
      <c r="T37" s="238"/>
      <c r="U37" s="238"/>
      <c r="V37" s="343">
        <f t="shared" si="5"/>
        <v>5350</v>
      </c>
    </row>
    <row r="38" spans="1:22" ht="17.25" customHeight="1">
      <c r="A38" s="267"/>
      <c r="B38" s="119" t="s">
        <v>505</v>
      </c>
      <c r="C38" s="14"/>
      <c r="D38" s="14"/>
      <c r="E38" s="345" t="s">
        <v>504</v>
      </c>
      <c r="F38" s="338">
        <v>570998</v>
      </c>
      <c r="G38" s="339">
        <v>882016</v>
      </c>
      <c r="H38" s="340">
        <f>IF(F38&gt;0,G38/F38*100,"")</f>
        <v>154.46919253657632</v>
      </c>
      <c r="I38" s="341" t="e">
        <f>F38/F183</f>
        <v>#REF!</v>
      </c>
      <c r="J38" s="236"/>
      <c r="K38" s="236">
        <v>0</v>
      </c>
      <c r="L38" s="236">
        <v>200000</v>
      </c>
      <c r="M38" s="236">
        <v>547167</v>
      </c>
      <c r="N38" s="236">
        <v>0</v>
      </c>
      <c r="O38" s="236">
        <v>0</v>
      </c>
      <c r="P38" s="236">
        <v>425245</v>
      </c>
      <c r="Q38" s="236">
        <v>0</v>
      </c>
      <c r="R38" s="236">
        <v>0</v>
      </c>
      <c r="S38" s="236">
        <v>1409112</v>
      </c>
      <c r="T38" s="238"/>
      <c r="U38" s="238">
        <v>0</v>
      </c>
      <c r="V38" s="343">
        <f t="shared" si="5"/>
        <v>1409112</v>
      </c>
    </row>
    <row r="39" spans="1:22" ht="15.75" customHeight="1">
      <c r="A39" s="267"/>
      <c r="B39" s="119" t="s">
        <v>715</v>
      </c>
      <c r="C39" s="14"/>
      <c r="D39" s="14"/>
      <c r="E39" s="345" t="s">
        <v>122</v>
      </c>
      <c r="F39" s="338"/>
      <c r="G39" s="339">
        <v>7000</v>
      </c>
      <c r="H39" s="340"/>
      <c r="I39" s="341"/>
      <c r="J39" s="236"/>
      <c r="K39" s="236">
        <v>0</v>
      </c>
      <c r="L39" s="236">
        <v>0</v>
      </c>
      <c r="M39" s="236">
        <v>800</v>
      </c>
      <c r="N39" s="236">
        <v>0</v>
      </c>
      <c r="O39" s="236">
        <v>0</v>
      </c>
      <c r="P39" s="236">
        <v>4899</v>
      </c>
      <c r="Q39" s="236">
        <v>0</v>
      </c>
      <c r="R39" s="236">
        <v>0</v>
      </c>
      <c r="S39" s="236">
        <v>2750</v>
      </c>
      <c r="T39" s="238"/>
      <c r="U39" s="238"/>
      <c r="V39" s="343">
        <f t="shared" si="5"/>
        <v>2750</v>
      </c>
    </row>
    <row r="40" spans="1:22" ht="16.5" customHeight="1">
      <c r="A40" s="268"/>
      <c r="B40" s="119" t="s">
        <v>739</v>
      </c>
      <c r="C40" s="14"/>
      <c r="D40" s="14"/>
      <c r="E40" s="345" t="s">
        <v>126</v>
      </c>
      <c r="F40" s="338">
        <v>6000</v>
      </c>
      <c r="G40" s="339">
        <v>17800</v>
      </c>
      <c r="H40" s="340">
        <f>IF(F40&gt;0,G40/F40*100,"")</f>
        <v>296.6666666666667</v>
      </c>
      <c r="I40" s="341" t="e">
        <f>F40/F183</f>
        <v>#REF!</v>
      </c>
      <c r="J40" s="236"/>
      <c r="K40" s="236">
        <v>0</v>
      </c>
      <c r="L40" s="236">
        <v>0</v>
      </c>
      <c r="M40" s="236">
        <v>9000</v>
      </c>
      <c r="N40" s="236">
        <v>0</v>
      </c>
      <c r="O40" s="236">
        <v>0</v>
      </c>
      <c r="P40" s="236">
        <v>7950</v>
      </c>
      <c r="Q40" s="236">
        <v>0</v>
      </c>
      <c r="R40" s="236">
        <v>0</v>
      </c>
      <c r="S40" s="236">
        <v>34652</v>
      </c>
      <c r="T40" s="238"/>
      <c r="U40" s="238"/>
      <c r="V40" s="343">
        <f t="shared" si="5"/>
        <v>34652</v>
      </c>
    </row>
    <row r="41" spans="1:22" ht="21.75" customHeight="1">
      <c r="A41" s="116"/>
      <c r="B41" s="119" t="s">
        <v>93</v>
      </c>
      <c r="C41" s="29"/>
      <c r="D41" s="29"/>
      <c r="E41" s="342">
        <v>2110</v>
      </c>
      <c r="F41" s="338">
        <v>15000</v>
      </c>
      <c r="G41" s="339">
        <v>37000</v>
      </c>
      <c r="H41" s="340">
        <f>IF(F41&gt;0,G41/F41*100,"")</f>
        <v>246.66666666666669</v>
      </c>
      <c r="I41" s="341" t="e">
        <f>F41/F183</f>
        <v>#REF!</v>
      </c>
      <c r="J41" s="236"/>
      <c r="K41" s="236">
        <v>0</v>
      </c>
      <c r="L41" s="236">
        <v>0</v>
      </c>
      <c r="M41" s="236">
        <v>4000</v>
      </c>
      <c r="N41" s="236">
        <v>0</v>
      </c>
      <c r="O41" s="236">
        <v>0</v>
      </c>
      <c r="P41" s="236">
        <v>22000</v>
      </c>
      <c r="Q41" s="236">
        <v>0</v>
      </c>
      <c r="R41" s="236">
        <v>0</v>
      </c>
      <c r="S41" s="236">
        <v>62000</v>
      </c>
      <c r="T41" s="238"/>
      <c r="U41" s="238"/>
      <c r="V41" s="343">
        <f t="shared" si="5"/>
        <v>62000</v>
      </c>
    </row>
    <row r="42" spans="1:22" ht="14.25" customHeight="1">
      <c r="A42" s="266" t="s">
        <v>614</v>
      </c>
      <c r="B42" s="251" t="s">
        <v>14</v>
      </c>
      <c r="C42" s="255">
        <v>710</v>
      </c>
      <c r="D42" s="255"/>
      <c r="E42" s="334"/>
      <c r="F42" s="335">
        <f>F43+F45+F47</f>
        <v>170602</v>
      </c>
      <c r="G42" s="357">
        <f>G43+G45+G47</f>
        <v>139020</v>
      </c>
      <c r="H42" s="348">
        <f>IF(F42&gt;0,G42/F42*100,"")</f>
        <v>81.48790752746157</v>
      </c>
      <c r="I42" s="358" t="e">
        <f>F42/F183</f>
        <v>#REF!</v>
      </c>
      <c r="J42" s="337"/>
      <c r="K42" s="337">
        <f aca="true" t="shared" si="6" ref="K42:P42">K43+K45+K47</f>
        <v>0</v>
      </c>
      <c r="L42" s="337">
        <f t="shared" si="6"/>
        <v>0</v>
      </c>
      <c r="M42" s="337">
        <f t="shared" si="6"/>
        <v>114563</v>
      </c>
      <c r="N42" s="337">
        <f t="shared" si="6"/>
        <v>0</v>
      </c>
      <c r="O42" s="337">
        <f t="shared" si="6"/>
        <v>0</v>
      </c>
      <c r="P42" s="349">
        <f t="shared" si="6"/>
        <v>137866</v>
      </c>
      <c r="Q42" s="349">
        <f aca="true" t="shared" si="7" ref="Q42:V42">Q43+Q45+Q47</f>
        <v>0</v>
      </c>
      <c r="R42" s="349">
        <f t="shared" si="7"/>
        <v>0</v>
      </c>
      <c r="S42" s="349">
        <f t="shared" si="7"/>
        <v>246547</v>
      </c>
      <c r="T42" s="349">
        <f t="shared" si="7"/>
        <v>0</v>
      </c>
      <c r="U42" s="349">
        <f t="shared" si="7"/>
        <v>0</v>
      </c>
      <c r="V42" s="349">
        <f t="shared" si="7"/>
        <v>246547</v>
      </c>
    </row>
    <row r="43" spans="1:22" ht="26.25" customHeight="1">
      <c r="A43" s="482" t="s">
        <v>713</v>
      </c>
      <c r="B43" s="395" t="s">
        <v>294</v>
      </c>
      <c r="C43" s="392"/>
      <c r="D43" s="392">
        <v>71013</v>
      </c>
      <c r="E43" s="386"/>
      <c r="F43" s="382">
        <v>79900</v>
      </c>
      <c r="G43" s="383">
        <v>52100</v>
      </c>
      <c r="H43" s="384">
        <f>IF(F43&gt;0,G43/F43*100,"")</f>
        <v>65.20650813516896</v>
      </c>
      <c r="I43" s="385" t="e">
        <f>F43/F183</f>
        <v>#REF!</v>
      </c>
      <c r="J43" s="386"/>
      <c r="K43" s="386">
        <v>0</v>
      </c>
      <c r="L43" s="386">
        <v>0</v>
      </c>
      <c r="M43" s="386">
        <v>35000</v>
      </c>
      <c r="N43" s="386">
        <v>0</v>
      </c>
      <c r="O43" s="386">
        <v>0</v>
      </c>
      <c r="P43" s="386">
        <v>52000</v>
      </c>
      <c r="Q43" s="386">
        <v>0</v>
      </c>
      <c r="R43" s="386">
        <v>0</v>
      </c>
      <c r="S43" s="386">
        <f>S44</f>
        <v>40000</v>
      </c>
      <c r="T43" s="386">
        <f>T44</f>
        <v>0</v>
      </c>
      <c r="U43" s="386">
        <f>U44</f>
        <v>0</v>
      </c>
      <c r="V43" s="386">
        <f>V44</f>
        <v>40000</v>
      </c>
    </row>
    <row r="44" spans="1:22" ht="22.5" customHeight="1">
      <c r="A44" s="116"/>
      <c r="B44" s="119" t="s">
        <v>93</v>
      </c>
      <c r="C44" s="29"/>
      <c r="D44" s="29"/>
      <c r="E44" s="342">
        <v>2110</v>
      </c>
      <c r="F44" s="338"/>
      <c r="G44" s="339"/>
      <c r="H44" s="340"/>
      <c r="I44" s="341"/>
      <c r="J44" s="236"/>
      <c r="K44" s="236"/>
      <c r="L44" s="236"/>
      <c r="M44" s="236"/>
      <c r="N44" s="236"/>
      <c r="O44" s="236"/>
      <c r="P44" s="236"/>
      <c r="Q44" s="236"/>
      <c r="R44" s="236"/>
      <c r="S44" s="236">
        <v>40000</v>
      </c>
      <c r="T44" s="238"/>
      <c r="U44" s="238"/>
      <c r="V44" s="343">
        <f>S44+T44-U44</f>
        <v>40000</v>
      </c>
    </row>
    <row r="45" spans="1:22" ht="25.5" customHeight="1">
      <c r="A45" s="482" t="s">
        <v>717</v>
      </c>
      <c r="B45" s="395" t="s">
        <v>296</v>
      </c>
      <c r="C45" s="392"/>
      <c r="D45" s="392">
        <v>71014</v>
      </c>
      <c r="E45" s="386"/>
      <c r="F45" s="382">
        <v>20000</v>
      </c>
      <c r="G45" s="383">
        <v>8000</v>
      </c>
      <c r="H45" s="384">
        <f>IF(F45&gt;0,G45/F45*100,"")</f>
        <v>40</v>
      </c>
      <c r="I45" s="385" t="e">
        <f>F45/F183</f>
        <v>#REF!</v>
      </c>
      <c r="J45" s="386"/>
      <c r="K45" s="386">
        <v>0</v>
      </c>
      <c r="L45" s="386">
        <v>0</v>
      </c>
      <c r="M45" s="386">
        <v>4000</v>
      </c>
      <c r="N45" s="386">
        <v>0</v>
      </c>
      <c r="O45" s="386">
        <v>0</v>
      </c>
      <c r="P45" s="386">
        <v>4000</v>
      </c>
      <c r="Q45" s="386">
        <v>0</v>
      </c>
      <c r="R45" s="386">
        <v>0</v>
      </c>
      <c r="S45" s="386">
        <f>S46</f>
        <v>25000</v>
      </c>
      <c r="T45" s="386">
        <f>T46</f>
        <v>0</v>
      </c>
      <c r="U45" s="386">
        <f>U46</f>
        <v>0</v>
      </c>
      <c r="V45" s="387">
        <f aca="true" t="shared" si="8" ref="V45:V108">S45+T45-U45</f>
        <v>25000</v>
      </c>
    </row>
    <row r="46" spans="1:22" ht="23.25" customHeight="1">
      <c r="A46" s="116"/>
      <c r="B46" s="119" t="s">
        <v>93</v>
      </c>
      <c r="C46" s="29"/>
      <c r="D46" s="29"/>
      <c r="E46" s="342">
        <v>2110</v>
      </c>
      <c r="F46" s="338"/>
      <c r="G46" s="339"/>
      <c r="H46" s="340"/>
      <c r="I46" s="341"/>
      <c r="J46" s="236"/>
      <c r="K46" s="236"/>
      <c r="L46" s="236"/>
      <c r="M46" s="236"/>
      <c r="N46" s="236"/>
      <c r="O46" s="236"/>
      <c r="P46" s="236"/>
      <c r="Q46" s="236"/>
      <c r="R46" s="236"/>
      <c r="S46" s="236">
        <v>25000</v>
      </c>
      <c r="T46" s="238">
        <v>0</v>
      </c>
      <c r="U46" s="238"/>
      <c r="V46" s="343">
        <f t="shared" si="8"/>
        <v>25000</v>
      </c>
    </row>
    <row r="47" spans="1:22" ht="17.25" customHeight="1">
      <c r="A47" s="482" t="s">
        <v>6</v>
      </c>
      <c r="B47" s="395" t="s">
        <v>298</v>
      </c>
      <c r="C47" s="392"/>
      <c r="D47" s="392">
        <v>71015</v>
      </c>
      <c r="E47" s="386"/>
      <c r="F47" s="382">
        <v>70702</v>
      </c>
      <c r="G47" s="383">
        <v>78920</v>
      </c>
      <c r="H47" s="384">
        <f>IF(F47&gt;0,G47/F47*100,"")</f>
        <v>111.62343356623575</v>
      </c>
      <c r="I47" s="385" t="e">
        <f>F47/F183</f>
        <v>#REF!</v>
      </c>
      <c r="J47" s="386"/>
      <c r="K47" s="386">
        <v>0</v>
      </c>
      <c r="L47" s="386">
        <v>0</v>
      </c>
      <c r="M47" s="386">
        <v>75563</v>
      </c>
      <c r="N47" s="386">
        <v>0</v>
      </c>
      <c r="O47" s="386">
        <v>0</v>
      </c>
      <c r="P47" s="386">
        <v>81866</v>
      </c>
      <c r="Q47" s="386">
        <v>0</v>
      </c>
      <c r="R47" s="386">
        <v>0</v>
      </c>
      <c r="S47" s="386">
        <f>S48+S49</f>
        <v>181547</v>
      </c>
      <c r="T47" s="386">
        <f>T48+T49</f>
        <v>0</v>
      </c>
      <c r="U47" s="386">
        <f>U48+U49</f>
        <v>0</v>
      </c>
      <c r="V47" s="387">
        <f t="shared" si="8"/>
        <v>181547</v>
      </c>
    </row>
    <row r="48" spans="1:22" ht="17.25" customHeight="1">
      <c r="A48" s="116"/>
      <c r="B48" s="119" t="s">
        <v>715</v>
      </c>
      <c r="C48" s="477"/>
      <c r="D48" s="477"/>
      <c r="E48" s="479" t="s">
        <v>122</v>
      </c>
      <c r="F48" s="374"/>
      <c r="G48" s="375"/>
      <c r="H48" s="376"/>
      <c r="I48" s="377"/>
      <c r="J48" s="365"/>
      <c r="K48" s="365"/>
      <c r="L48" s="365"/>
      <c r="M48" s="365"/>
      <c r="N48" s="365"/>
      <c r="O48" s="365"/>
      <c r="P48" s="365"/>
      <c r="Q48" s="365"/>
      <c r="R48" s="365"/>
      <c r="S48" s="365">
        <v>0</v>
      </c>
      <c r="T48" s="366"/>
      <c r="U48" s="366"/>
      <c r="V48" s="412">
        <f t="shared" si="8"/>
        <v>0</v>
      </c>
    </row>
    <row r="49" spans="1:22" ht="21.75" customHeight="1">
      <c r="A49" s="116"/>
      <c r="B49" s="119" t="s">
        <v>93</v>
      </c>
      <c r="C49" s="29"/>
      <c r="D49" s="29"/>
      <c r="E49" s="342">
        <v>2110</v>
      </c>
      <c r="F49" s="338"/>
      <c r="G49" s="339"/>
      <c r="H49" s="340"/>
      <c r="I49" s="341"/>
      <c r="J49" s="236"/>
      <c r="K49" s="236"/>
      <c r="L49" s="236"/>
      <c r="M49" s="236"/>
      <c r="N49" s="236"/>
      <c r="O49" s="236"/>
      <c r="P49" s="236"/>
      <c r="Q49" s="236"/>
      <c r="R49" s="236"/>
      <c r="S49" s="236">
        <v>181547</v>
      </c>
      <c r="T49" s="238"/>
      <c r="U49" s="238"/>
      <c r="V49" s="343">
        <f t="shared" si="8"/>
        <v>181547</v>
      </c>
    </row>
    <row r="50" spans="1:22" ht="16.5" customHeight="1">
      <c r="A50" s="266" t="s">
        <v>647</v>
      </c>
      <c r="B50" s="251" t="s">
        <v>736</v>
      </c>
      <c r="C50" s="255">
        <v>750</v>
      </c>
      <c r="D50" s="255"/>
      <c r="E50" s="369"/>
      <c r="F50" s="356">
        <f>F51+F59</f>
        <v>142453</v>
      </c>
      <c r="G50" s="357">
        <f>G51+G59</f>
        <v>144857</v>
      </c>
      <c r="H50" s="348">
        <f>IF(F50&gt;0,G50/F50*100,"")</f>
        <v>101.68757414726261</v>
      </c>
      <c r="I50" s="358" t="e">
        <f>F50/F183</f>
        <v>#REF!</v>
      </c>
      <c r="J50" s="337"/>
      <c r="K50" s="337">
        <f aca="true" t="shared" si="9" ref="K50:R50">K51+K59</f>
        <v>0</v>
      </c>
      <c r="L50" s="337">
        <f t="shared" si="9"/>
        <v>0</v>
      </c>
      <c r="M50" s="337">
        <f t="shared" si="9"/>
        <v>97055</v>
      </c>
      <c r="N50" s="337">
        <f t="shared" si="9"/>
        <v>0</v>
      </c>
      <c r="O50" s="337">
        <f t="shared" si="9"/>
        <v>0</v>
      </c>
      <c r="P50" s="349">
        <f t="shared" si="9"/>
        <v>103976</v>
      </c>
      <c r="Q50" s="349">
        <f t="shared" si="9"/>
        <v>0</v>
      </c>
      <c r="R50" s="349">
        <f t="shared" si="9"/>
        <v>0</v>
      </c>
      <c r="S50" s="349">
        <f>S51+S53+S59</f>
        <v>840936</v>
      </c>
      <c r="T50" s="349">
        <f>T51+T53+T59</f>
        <v>0</v>
      </c>
      <c r="U50" s="349">
        <f>U51+U53+U59</f>
        <v>0</v>
      </c>
      <c r="V50" s="370">
        <f t="shared" si="8"/>
        <v>840936</v>
      </c>
    </row>
    <row r="51" spans="1:22" ht="18.75" customHeight="1">
      <c r="A51" s="482" t="s">
        <v>713</v>
      </c>
      <c r="B51" s="395" t="s">
        <v>714</v>
      </c>
      <c r="C51" s="392"/>
      <c r="D51" s="392">
        <v>75011</v>
      </c>
      <c r="E51" s="386"/>
      <c r="F51" s="382">
        <v>120453</v>
      </c>
      <c r="G51" s="383">
        <v>120857</v>
      </c>
      <c r="H51" s="384">
        <f>IF(F51&gt;0,G51/F51*100,"")</f>
        <v>100.33540052966717</v>
      </c>
      <c r="I51" s="385" t="e">
        <f>F51/F183</f>
        <v>#REF!</v>
      </c>
      <c r="J51" s="386"/>
      <c r="K51" s="386">
        <v>0</v>
      </c>
      <c r="L51" s="386">
        <v>0</v>
      </c>
      <c r="M51" s="386">
        <v>86463</v>
      </c>
      <c r="N51" s="386">
        <v>0</v>
      </c>
      <c r="O51" s="386">
        <v>0</v>
      </c>
      <c r="P51" s="386">
        <v>89799</v>
      </c>
      <c r="Q51" s="386">
        <v>0</v>
      </c>
      <c r="R51" s="386">
        <v>0</v>
      </c>
      <c r="S51" s="386">
        <f>S52</f>
        <v>102748</v>
      </c>
      <c r="T51" s="386">
        <f>T52</f>
        <v>0</v>
      </c>
      <c r="U51" s="386">
        <f>U52</f>
        <v>0</v>
      </c>
      <c r="V51" s="387">
        <f t="shared" si="8"/>
        <v>102748</v>
      </c>
    </row>
    <row r="52" spans="1:22" ht="21.75" customHeight="1">
      <c r="A52" s="116"/>
      <c r="B52" s="119" t="s">
        <v>93</v>
      </c>
      <c r="C52" s="29"/>
      <c r="D52" s="29"/>
      <c r="E52" s="342">
        <v>2110</v>
      </c>
      <c r="F52" s="338"/>
      <c r="G52" s="339"/>
      <c r="H52" s="340"/>
      <c r="I52" s="341"/>
      <c r="J52" s="236"/>
      <c r="K52" s="236"/>
      <c r="L52" s="236"/>
      <c r="M52" s="236"/>
      <c r="N52" s="236"/>
      <c r="O52" s="236"/>
      <c r="P52" s="236"/>
      <c r="Q52" s="236"/>
      <c r="R52" s="236"/>
      <c r="S52" s="236">
        <v>102748</v>
      </c>
      <c r="T52" s="238"/>
      <c r="U52" s="238"/>
      <c r="V52" s="343">
        <f t="shared" si="8"/>
        <v>102748</v>
      </c>
    </row>
    <row r="53" spans="1:22" s="83" customFormat="1" ht="15.75" customHeight="1">
      <c r="A53" s="480" t="s">
        <v>717</v>
      </c>
      <c r="B53" s="379" t="s">
        <v>737</v>
      </c>
      <c r="C53" s="396"/>
      <c r="D53" s="396">
        <v>75020</v>
      </c>
      <c r="E53" s="393"/>
      <c r="F53" s="382" t="e">
        <f>F54+F55+F56+#REF!+F57+F58</f>
        <v>#REF!</v>
      </c>
      <c r="G53" s="383" t="e">
        <f>G54+G55+G56+#REF!+G57+G58</f>
        <v>#REF!</v>
      </c>
      <c r="H53" s="384" t="e">
        <f aca="true" t="shared" si="10" ref="H53:H59">IF(F53&gt;0,G53/F53*100,"")</f>
        <v>#REF!</v>
      </c>
      <c r="I53" s="385" t="e">
        <f>F53/F183</f>
        <v>#REF!</v>
      </c>
      <c r="J53" s="386"/>
      <c r="K53" s="386" t="e">
        <f>K54+K55+K56+#REF!+K58</f>
        <v>#REF!</v>
      </c>
      <c r="L53" s="386" t="e">
        <f>L54+L55+L56+#REF!+L58</f>
        <v>#REF!</v>
      </c>
      <c r="M53" s="386" t="e">
        <f>M54+M55+M56+#REF!+M58+M57</f>
        <v>#REF!</v>
      </c>
      <c r="N53" s="386" t="e">
        <f>N54+N55+N56+#REF!+N58+N57</f>
        <v>#REF!</v>
      </c>
      <c r="O53" s="386" t="e">
        <f>O54+O55+O56+#REF!+O58+O57</f>
        <v>#REF!</v>
      </c>
      <c r="P53" s="389" t="e">
        <f>P54+P55+P56+#REF!+P58+P57</f>
        <v>#REF!</v>
      </c>
      <c r="Q53" s="389" t="e">
        <f>Q54+Q55+Q56+#REF!+Q58+Q57</f>
        <v>#REF!</v>
      </c>
      <c r="R53" s="389" t="e">
        <f>R54+R55+R56+#REF!+R58+R57</f>
        <v>#REF!</v>
      </c>
      <c r="S53" s="389">
        <f>S54+S55+S56+S57+S58</f>
        <v>725188</v>
      </c>
      <c r="T53" s="389">
        <f>T54+T55+T56+T57+T58</f>
        <v>0</v>
      </c>
      <c r="U53" s="389">
        <f>U54+U55+U56+U57+U58</f>
        <v>0</v>
      </c>
      <c r="V53" s="387">
        <f t="shared" si="8"/>
        <v>725188</v>
      </c>
    </row>
    <row r="54" spans="1:22" ht="17.25" customHeight="1">
      <c r="A54" s="116"/>
      <c r="B54" s="120" t="s">
        <v>738</v>
      </c>
      <c r="C54" s="14"/>
      <c r="D54" s="14"/>
      <c r="E54" s="345" t="s">
        <v>127</v>
      </c>
      <c r="F54" s="338">
        <v>500000</v>
      </c>
      <c r="G54" s="339">
        <v>650000</v>
      </c>
      <c r="H54" s="340">
        <f t="shared" si="10"/>
        <v>130</v>
      </c>
      <c r="I54" s="341" t="e">
        <f>F54/F183</f>
        <v>#REF!</v>
      </c>
      <c r="J54" s="236"/>
      <c r="K54" s="236">
        <v>0</v>
      </c>
      <c r="L54" s="236">
        <v>0</v>
      </c>
      <c r="M54" s="236">
        <v>529000</v>
      </c>
      <c r="N54" s="236">
        <v>0</v>
      </c>
      <c r="O54" s="236">
        <v>0</v>
      </c>
      <c r="P54" s="236">
        <v>523273</v>
      </c>
      <c r="Q54" s="236">
        <v>0</v>
      </c>
      <c r="R54" s="236">
        <v>0</v>
      </c>
      <c r="S54" s="236">
        <v>706800</v>
      </c>
      <c r="T54" s="238"/>
      <c r="U54" s="238">
        <v>0</v>
      </c>
      <c r="V54" s="343">
        <f t="shared" si="8"/>
        <v>706800</v>
      </c>
    </row>
    <row r="55" spans="1:22" ht="15.75" customHeight="1">
      <c r="A55" s="116"/>
      <c r="B55" s="120" t="s">
        <v>719</v>
      </c>
      <c r="C55" s="14"/>
      <c r="D55" s="14"/>
      <c r="E55" s="345" t="s">
        <v>123</v>
      </c>
      <c r="F55" s="338">
        <v>10000</v>
      </c>
      <c r="G55" s="339">
        <v>10000</v>
      </c>
      <c r="H55" s="340">
        <f t="shared" si="10"/>
        <v>100</v>
      </c>
      <c r="I55" s="341" t="e">
        <f>F55/F183</f>
        <v>#REF!</v>
      </c>
      <c r="J55" s="236"/>
      <c r="K55" s="236">
        <v>0</v>
      </c>
      <c r="L55" s="236">
        <v>0</v>
      </c>
      <c r="M55" s="236">
        <v>1800</v>
      </c>
      <c r="N55" s="236">
        <v>0</v>
      </c>
      <c r="O55" s="236">
        <v>0</v>
      </c>
      <c r="P55" s="236">
        <v>1800</v>
      </c>
      <c r="Q55" s="236">
        <v>0</v>
      </c>
      <c r="R55" s="236">
        <v>0</v>
      </c>
      <c r="S55" s="236">
        <v>1450</v>
      </c>
      <c r="T55" s="238"/>
      <c r="U55" s="238"/>
      <c r="V55" s="343">
        <f t="shared" si="8"/>
        <v>1450</v>
      </c>
    </row>
    <row r="56" spans="1:22" ht="21.75" customHeight="1">
      <c r="A56" s="116"/>
      <c r="B56" s="119" t="s">
        <v>721</v>
      </c>
      <c r="C56" s="14"/>
      <c r="D56" s="14"/>
      <c r="E56" s="345" t="s">
        <v>124</v>
      </c>
      <c r="F56" s="338">
        <v>2000</v>
      </c>
      <c r="G56" s="339">
        <v>5000</v>
      </c>
      <c r="H56" s="340">
        <f t="shared" si="10"/>
        <v>250</v>
      </c>
      <c r="I56" s="341" t="e">
        <f>F56/F183</f>
        <v>#REF!</v>
      </c>
      <c r="J56" s="236"/>
      <c r="K56" s="236">
        <v>0</v>
      </c>
      <c r="L56" s="236">
        <v>0</v>
      </c>
      <c r="M56" s="236">
        <v>1070</v>
      </c>
      <c r="N56" s="236">
        <v>0</v>
      </c>
      <c r="O56" s="236">
        <v>0</v>
      </c>
      <c r="P56" s="236">
        <v>676</v>
      </c>
      <c r="Q56" s="236">
        <v>0</v>
      </c>
      <c r="R56" s="236">
        <v>0</v>
      </c>
      <c r="S56" s="236">
        <v>1138</v>
      </c>
      <c r="T56" s="238"/>
      <c r="U56" s="238"/>
      <c r="V56" s="343">
        <f t="shared" si="8"/>
        <v>1138</v>
      </c>
    </row>
    <row r="57" spans="1:22" ht="18" customHeight="1">
      <c r="A57" s="116"/>
      <c r="B57" s="120" t="s">
        <v>722</v>
      </c>
      <c r="C57" s="14"/>
      <c r="D57" s="14"/>
      <c r="E57" s="345" t="s">
        <v>125</v>
      </c>
      <c r="F57" s="338">
        <v>10000</v>
      </c>
      <c r="G57" s="339">
        <v>0</v>
      </c>
      <c r="H57" s="340">
        <f t="shared" si="10"/>
        <v>0</v>
      </c>
      <c r="I57" s="341" t="e">
        <f>F57/F183</f>
        <v>#REF!</v>
      </c>
      <c r="J57" s="236"/>
      <c r="K57" s="236"/>
      <c r="L57" s="236"/>
      <c r="M57" s="236">
        <v>4000</v>
      </c>
      <c r="N57" s="236">
        <v>0</v>
      </c>
      <c r="O57" s="236">
        <v>0</v>
      </c>
      <c r="P57" s="236">
        <v>2785</v>
      </c>
      <c r="Q57" s="236">
        <v>0</v>
      </c>
      <c r="R57" s="236">
        <v>0</v>
      </c>
      <c r="S57" s="236">
        <v>200</v>
      </c>
      <c r="T57" s="238"/>
      <c r="U57" s="238"/>
      <c r="V57" s="343">
        <f t="shared" si="8"/>
        <v>200</v>
      </c>
    </row>
    <row r="58" spans="1:22" ht="19.5" customHeight="1">
      <c r="A58" s="116"/>
      <c r="B58" s="119" t="s">
        <v>739</v>
      </c>
      <c r="C58" s="14"/>
      <c r="D58" s="14"/>
      <c r="E58" s="345" t="s">
        <v>126</v>
      </c>
      <c r="F58" s="338">
        <v>61000</v>
      </c>
      <c r="G58" s="339">
        <v>70000</v>
      </c>
      <c r="H58" s="340">
        <f t="shared" si="10"/>
        <v>114.75409836065573</v>
      </c>
      <c r="I58" s="341" t="e">
        <f>F58/F183</f>
        <v>#REF!</v>
      </c>
      <c r="J58" s="236"/>
      <c r="K58" s="236">
        <v>0</v>
      </c>
      <c r="L58" s="236">
        <v>0</v>
      </c>
      <c r="M58" s="236">
        <v>25000</v>
      </c>
      <c r="N58" s="236">
        <v>0</v>
      </c>
      <c r="O58" s="236">
        <v>0</v>
      </c>
      <c r="P58" s="236">
        <v>7765</v>
      </c>
      <c r="Q58" s="236">
        <v>0</v>
      </c>
      <c r="R58" s="236">
        <v>0</v>
      </c>
      <c r="S58" s="236">
        <v>15600</v>
      </c>
      <c r="T58" s="238"/>
      <c r="U58" s="238"/>
      <c r="V58" s="343">
        <f t="shared" si="8"/>
        <v>15600</v>
      </c>
    </row>
    <row r="59" spans="1:22" ht="18" customHeight="1">
      <c r="A59" s="482" t="s">
        <v>6</v>
      </c>
      <c r="B59" s="395" t="s">
        <v>312</v>
      </c>
      <c r="C59" s="392"/>
      <c r="D59" s="392">
        <v>75045</v>
      </c>
      <c r="E59" s="386"/>
      <c r="F59" s="382">
        <v>22000</v>
      </c>
      <c r="G59" s="383">
        <v>24000</v>
      </c>
      <c r="H59" s="384">
        <f t="shared" si="10"/>
        <v>109.09090909090908</v>
      </c>
      <c r="I59" s="385" t="e">
        <f>F59/F183</f>
        <v>#REF!</v>
      </c>
      <c r="J59" s="386"/>
      <c r="K59" s="386">
        <v>0</v>
      </c>
      <c r="L59" s="386">
        <v>0</v>
      </c>
      <c r="M59" s="386">
        <v>10592</v>
      </c>
      <c r="N59" s="386">
        <v>0</v>
      </c>
      <c r="O59" s="386">
        <v>0</v>
      </c>
      <c r="P59" s="386">
        <v>14177</v>
      </c>
      <c r="Q59" s="386">
        <v>0</v>
      </c>
      <c r="R59" s="386">
        <v>0</v>
      </c>
      <c r="S59" s="386">
        <f>S60</f>
        <v>13000</v>
      </c>
      <c r="T59" s="386">
        <f>T60</f>
        <v>0</v>
      </c>
      <c r="U59" s="386">
        <f>U60</f>
        <v>0</v>
      </c>
      <c r="V59" s="387">
        <f t="shared" si="8"/>
        <v>13000</v>
      </c>
    </row>
    <row r="60" spans="1:22" ht="25.5" customHeight="1">
      <c r="A60" s="116"/>
      <c r="B60" s="119" t="s">
        <v>93</v>
      </c>
      <c r="C60" s="29"/>
      <c r="D60" s="29"/>
      <c r="E60" s="342">
        <v>2110</v>
      </c>
      <c r="F60" s="338"/>
      <c r="G60" s="339"/>
      <c r="H60" s="340"/>
      <c r="I60" s="341"/>
      <c r="J60" s="236"/>
      <c r="K60" s="236"/>
      <c r="L60" s="236"/>
      <c r="M60" s="236"/>
      <c r="N60" s="236"/>
      <c r="O60" s="236"/>
      <c r="P60" s="236"/>
      <c r="Q60" s="236"/>
      <c r="R60" s="236"/>
      <c r="S60" s="236">
        <v>13000</v>
      </c>
      <c r="T60" s="238"/>
      <c r="U60" s="238"/>
      <c r="V60" s="343">
        <f t="shared" si="8"/>
        <v>13000</v>
      </c>
    </row>
    <row r="61" spans="1:22" ht="24.75" customHeight="1">
      <c r="A61" s="266" t="s">
        <v>649</v>
      </c>
      <c r="B61" s="251" t="s">
        <v>0</v>
      </c>
      <c r="C61" s="255">
        <v>754</v>
      </c>
      <c r="D61" s="255"/>
      <c r="E61" s="334"/>
      <c r="F61" s="335" t="e">
        <f>#REF!+F62</f>
        <v>#REF!</v>
      </c>
      <c r="G61" s="357" t="e">
        <f>#REF!+G62</f>
        <v>#REF!</v>
      </c>
      <c r="H61" s="348" t="e">
        <f>IF(F61&gt;0,G61/F61*100,"")</f>
        <v>#REF!</v>
      </c>
      <c r="I61" s="358" t="e">
        <f>F61/F183</f>
        <v>#REF!</v>
      </c>
      <c r="J61" s="337"/>
      <c r="K61" s="337" t="e">
        <f>#REF!+K62</f>
        <v>#REF!</v>
      </c>
      <c r="L61" s="337" t="e">
        <f>#REF!+L62</f>
        <v>#REF!</v>
      </c>
      <c r="M61" s="337" t="e">
        <f>#REF!+M62</f>
        <v>#REF!</v>
      </c>
      <c r="N61" s="337" t="e">
        <f>#REF!+N62</f>
        <v>#REF!</v>
      </c>
      <c r="O61" s="337" t="e">
        <f>#REF!+O62</f>
        <v>#REF!</v>
      </c>
      <c r="P61" s="349" t="e">
        <f>#REF!+P62</f>
        <v>#REF!</v>
      </c>
      <c r="Q61" s="349" t="e">
        <f>#REF!+Q62</f>
        <v>#REF!</v>
      </c>
      <c r="R61" s="349" t="e">
        <f>#REF!+R62</f>
        <v>#REF!</v>
      </c>
      <c r="S61" s="349">
        <f>S62+S69</f>
        <v>2225000</v>
      </c>
      <c r="T61" s="349">
        <f>T62+T69</f>
        <v>60000</v>
      </c>
      <c r="U61" s="349">
        <f>U62+U69</f>
        <v>0</v>
      </c>
      <c r="V61" s="370">
        <f t="shared" si="8"/>
        <v>2285000</v>
      </c>
    </row>
    <row r="62" spans="1:22" ht="24" customHeight="1">
      <c r="A62" s="482" t="s">
        <v>713</v>
      </c>
      <c r="B62" s="395" t="s">
        <v>574</v>
      </c>
      <c r="C62" s="392"/>
      <c r="D62" s="392">
        <v>75411</v>
      </c>
      <c r="E62" s="386"/>
      <c r="F62" s="382">
        <v>2662024</v>
      </c>
      <c r="G62" s="383">
        <v>2874880</v>
      </c>
      <c r="H62" s="384">
        <f>IF(F62&gt;0,G62/F62*100,"")</f>
        <v>107.99602107268755</v>
      </c>
      <c r="I62" s="385" t="e">
        <f>F62/F183</f>
        <v>#REF!</v>
      </c>
      <c r="J62" s="386"/>
      <c r="K62" s="386">
        <v>0</v>
      </c>
      <c r="L62" s="386">
        <v>0</v>
      </c>
      <c r="M62" s="386">
        <v>1730000</v>
      </c>
      <c r="N62" s="386">
        <v>0</v>
      </c>
      <c r="O62" s="386">
        <v>0</v>
      </c>
      <c r="P62" s="386">
        <v>1833000</v>
      </c>
      <c r="Q62" s="386">
        <v>0</v>
      </c>
      <c r="R62" s="386">
        <v>0</v>
      </c>
      <c r="S62" s="386">
        <f>S63+S64+S65+S66+S67+S68</f>
        <v>2222000</v>
      </c>
      <c r="T62" s="386">
        <f>T63+T64+T65+T66+T67+T68</f>
        <v>60000</v>
      </c>
      <c r="U62" s="386">
        <f>U63+U64+U65+U66+U67+U68</f>
        <v>0</v>
      </c>
      <c r="V62" s="387">
        <f t="shared" si="8"/>
        <v>2282000</v>
      </c>
    </row>
    <row r="63" spans="1:22" ht="24" customHeight="1">
      <c r="A63" s="116"/>
      <c r="B63" s="119" t="s">
        <v>715</v>
      </c>
      <c r="C63" s="477"/>
      <c r="D63" s="477"/>
      <c r="E63" s="378" t="s">
        <v>122</v>
      </c>
      <c r="F63" s="374"/>
      <c r="G63" s="375"/>
      <c r="H63" s="376"/>
      <c r="I63" s="377"/>
      <c r="J63" s="365"/>
      <c r="K63" s="365"/>
      <c r="L63" s="365"/>
      <c r="M63" s="365"/>
      <c r="N63" s="365"/>
      <c r="O63" s="365"/>
      <c r="P63" s="365"/>
      <c r="Q63" s="365"/>
      <c r="R63" s="365"/>
      <c r="S63" s="365">
        <v>0</v>
      </c>
      <c r="T63" s="366"/>
      <c r="U63" s="366"/>
      <c r="V63" s="412">
        <f t="shared" si="8"/>
        <v>0</v>
      </c>
    </row>
    <row r="64" spans="1:22" ht="24" customHeight="1">
      <c r="A64" s="116"/>
      <c r="B64" s="119" t="s">
        <v>739</v>
      </c>
      <c r="C64" s="477"/>
      <c r="D64" s="477"/>
      <c r="E64" s="378" t="s">
        <v>126</v>
      </c>
      <c r="F64" s="374"/>
      <c r="G64" s="375"/>
      <c r="H64" s="376"/>
      <c r="I64" s="377"/>
      <c r="J64" s="365"/>
      <c r="K64" s="365"/>
      <c r="L64" s="365"/>
      <c r="M64" s="365"/>
      <c r="N64" s="365"/>
      <c r="O64" s="365"/>
      <c r="P64" s="365"/>
      <c r="Q64" s="365"/>
      <c r="R64" s="365"/>
      <c r="S64" s="365">
        <v>0</v>
      </c>
      <c r="T64" s="366">
        <v>50000</v>
      </c>
      <c r="U64" s="366"/>
      <c r="V64" s="412">
        <f t="shared" si="8"/>
        <v>50000</v>
      </c>
    </row>
    <row r="65" spans="1:22" ht="24" customHeight="1">
      <c r="A65" s="116"/>
      <c r="B65" s="119" t="s">
        <v>93</v>
      </c>
      <c r="C65" s="29"/>
      <c r="D65" s="29"/>
      <c r="E65" s="342">
        <v>2110</v>
      </c>
      <c r="F65" s="338"/>
      <c r="G65" s="339"/>
      <c r="H65" s="340"/>
      <c r="I65" s="341"/>
      <c r="J65" s="236"/>
      <c r="K65" s="236"/>
      <c r="L65" s="236"/>
      <c r="M65" s="236"/>
      <c r="N65" s="236"/>
      <c r="O65" s="236"/>
      <c r="P65" s="236"/>
      <c r="Q65" s="236"/>
      <c r="R65" s="236"/>
      <c r="S65" s="236">
        <v>2201000</v>
      </c>
      <c r="T65" s="238"/>
      <c r="U65" s="238">
        <v>0</v>
      </c>
      <c r="V65" s="343">
        <f t="shared" si="8"/>
        <v>2201000</v>
      </c>
    </row>
    <row r="66" spans="1:22" ht="30" customHeight="1">
      <c r="A66" s="268"/>
      <c r="B66" s="119" t="s">
        <v>93</v>
      </c>
      <c r="C66" s="29"/>
      <c r="D66" s="18"/>
      <c r="E66" s="342">
        <v>2310</v>
      </c>
      <c r="F66" s="359"/>
      <c r="G66" s="360"/>
      <c r="H66" s="361"/>
      <c r="I66" s="362"/>
      <c r="J66" s="241"/>
      <c r="K66" s="241"/>
      <c r="L66" s="241"/>
      <c r="M66" s="241"/>
      <c r="N66" s="241"/>
      <c r="O66" s="241"/>
      <c r="P66" s="236"/>
      <c r="Q66" s="236"/>
      <c r="R66" s="236"/>
      <c r="S66" s="236">
        <v>1000</v>
      </c>
      <c r="T66" s="238"/>
      <c r="U66" s="238"/>
      <c r="V66" s="343">
        <f t="shared" si="8"/>
        <v>1000</v>
      </c>
    </row>
    <row r="67" spans="1:22" ht="30" customHeight="1">
      <c r="A67" s="268"/>
      <c r="B67" s="119" t="s">
        <v>61</v>
      </c>
      <c r="C67" s="29"/>
      <c r="D67" s="18"/>
      <c r="E67" s="342">
        <v>6610</v>
      </c>
      <c r="F67" s="359"/>
      <c r="G67" s="360"/>
      <c r="H67" s="361"/>
      <c r="I67" s="362"/>
      <c r="J67" s="241"/>
      <c r="K67" s="241"/>
      <c r="L67" s="241"/>
      <c r="M67" s="241"/>
      <c r="N67" s="241"/>
      <c r="O67" s="241"/>
      <c r="P67" s="236"/>
      <c r="Q67" s="236"/>
      <c r="R67" s="236"/>
      <c r="S67" s="236">
        <v>0</v>
      </c>
      <c r="T67" s="238">
        <v>10000</v>
      </c>
      <c r="U67" s="238"/>
      <c r="V67" s="343">
        <f t="shared" si="8"/>
        <v>10000</v>
      </c>
    </row>
    <row r="68" spans="1:22" ht="45" customHeight="1">
      <c r="A68" s="268"/>
      <c r="B68" s="119" t="s">
        <v>323</v>
      </c>
      <c r="C68" s="29"/>
      <c r="D68" s="18"/>
      <c r="E68" s="342">
        <v>6630</v>
      </c>
      <c r="F68" s="359"/>
      <c r="G68" s="360"/>
      <c r="H68" s="361"/>
      <c r="I68" s="362"/>
      <c r="J68" s="241"/>
      <c r="K68" s="241"/>
      <c r="L68" s="241"/>
      <c r="M68" s="241"/>
      <c r="N68" s="241"/>
      <c r="O68" s="241"/>
      <c r="P68" s="236"/>
      <c r="Q68" s="236"/>
      <c r="R68" s="236"/>
      <c r="S68" s="236">
        <v>20000</v>
      </c>
      <c r="T68" s="238">
        <v>0</v>
      </c>
      <c r="U68" s="238"/>
      <c r="V68" s="343">
        <f t="shared" si="8"/>
        <v>20000</v>
      </c>
    </row>
    <row r="69" spans="1:22" ht="15.75" customHeight="1">
      <c r="A69" s="482" t="s">
        <v>717</v>
      </c>
      <c r="B69" s="395" t="s">
        <v>436</v>
      </c>
      <c r="C69" s="392"/>
      <c r="D69" s="392">
        <v>75414</v>
      </c>
      <c r="E69" s="386"/>
      <c r="F69" s="382"/>
      <c r="G69" s="383"/>
      <c r="H69" s="384"/>
      <c r="I69" s="385"/>
      <c r="J69" s="386"/>
      <c r="K69" s="386"/>
      <c r="L69" s="386"/>
      <c r="M69" s="386"/>
      <c r="N69" s="386"/>
      <c r="O69" s="386"/>
      <c r="P69" s="386"/>
      <c r="Q69" s="386"/>
      <c r="R69" s="386"/>
      <c r="S69" s="386">
        <f>S77</f>
        <v>3000</v>
      </c>
      <c r="T69" s="386">
        <f>T77</f>
        <v>0</v>
      </c>
      <c r="U69" s="386">
        <f>U77</f>
        <v>0</v>
      </c>
      <c r="V69" s="387">
        <f t="shared" si="8"/>
        <v>3000</v>
      </c>
    </row>
    <row r="70" spans="1:22" ht="21.75" customHeight="1" hidden="1">
      <c r="A70" s="268" t="s">
        <v>717</v>
      </c>
      <c r="B70" s="3" t="s">
        <v>315</v>
      </c>
      <c r="C70" s="23"/>
      <c r="D70" s="23" t="s">
        <v>314</v>
      </c>
      <c r="E70" s="368"/>
      <c r="F70" s="359"/>
      <c r="G70" s="360"/>
      <c r="H70" s="361"/>
      <c r="I70" s="362"/>
      <c r="J70" s="241"/>
      <c r="K70" s="241"/>
      <c r="L70" s="241"/>
      <c r="M70" s="241">
        <f aca="true" t="shared" si="11" ref="M70:R70">M71</f>
        <v>3050</v>
      </c>
      <c r="N70" s="241">
        <f t="shared" si="11"/>
        <v>0</v>
      </c>
      <c r="O70" s="241">
        <f t="shared" si="11"/>
        <v>0</v>
      </c>
      <c r="P70" s="241">
        <f t="shared" si="11"/>
        <v>0</v>
      </c>
      <c r="Q70" s="241">
        <f t="shared" si="11"/>
        <v>0</v>
      </c>
      <c r="R70" s="241">
        <f t="shared" si="11"/>
        <v>0</v>
      </c>
      <c r="S70" s="236"/>
      <c r="T70" s="238"/>
      <c r="U70" s="238"/>
      <c r="V70" s="343">
        <f t="shared" si="8"/>
        <v>0</v>
      </c>
    </row>
    <row r="71" spans="1:22" ht="0.75" customHeight="1" hidden="1">
      <c r="A71" s="116"/>
      <c r="B71" s="8" t="s">
        <v>88</v>
      </c>
      <c r="C71" s="14"/>
      <c r="D71" s="14"/>
      <c r="E71" s="345" t="s">
        <v>87</v>
      </c>
      <c r="F71" s="338"/>
      <c r="G71" s="339"/>
      <c r="H71" s="340"/>
      <c r="I71" s="341"/>
      <c r="J71" s="236"/>
      <c r="K71" s="236"/>
      <c r="L71" s="236"/>
      <c r="M71" s="236">
        <v>3050</v>
      </c>
      <c r="N71" s="236">
        <v>0</v>
      </c>
      <c r="O71" s="236">
        <v>0</v>
      </c>
      <c r="P71" s="236">
        <v>0</v>
      </c>
      <c r="Q71" s="236">
        <v>0</v>
      </c>
      <c r="R71" s="236">
        <v>0</v>
      </c>
      <c r="S71" s="236"/>
      <c r="T71" s="238"/>
      <c r="U71" s="238"/>
      <c r="V71" s="343">
        <f t="shared" si="8"/>
        <v>0</v>
      </c>
    </row>
    <row r="72" spans="1:22" ht="25.5" customHeight="1" hidden="1">
      <c r="A72" s="268" t="s">
        <v>614</v>
      </c>
      <c r="B72" s="3" t="s">
        <v>0</v>
      </c>
      <c r="C72" s="46">
        <v>754</v>
      </c>
      <c r="D72" s="29"/>
      <c r="E72" s="342"/>
      <c r="F72" s="338">
        <f>F73+F75</f>
        <v>18600</v>
      </c>
      <c r="G72" s="360">
        <f>G73+G75</f>
        <v>19700</v>
      </c>
      <c r="H72" s="361">
        <f>IF(F72&gt;0,G72/F72*100,"")</f>
        <v>105.91397849462365</v>
      </c>
      <c r="I72" s="362" t="e">
        <f>F72/F183</f>
        <v>#REF!</v>
      </c>
      <c r="J72" s="241"/>
      <c r="K72" s="241">
        <f aca="true" t="shared" si="12" ref="K72:P72">K73+K75</f>
        <v>0</v>
      </c>
      <c r="L72" s="241">
        <f t="shared" si="12"/>
        <v>0</v>
      </c>
      <c r="M72" s="241">
        <f t="shared" si="12"/>
        <v>6000</v>
      </c>
      <c r="N72" s="241">
        <f t="shared" si="12"/>
        <v>0</v>
      </c>
      <c r="O72" s="241">
        <f t="shared" si="12"/>
        <v>0</v>
      </c>
      <c r="P72" s="363">
        <f t="shared" si="12"/>
        <v>1000</v>
      </c>
      <c r="Q72" s="363">
        <f>Q73+Q75</f>
        <v>0</v>
      </c>
      <c r="R72" s="363">
        <f>R73+R75</f>
        <v>0</v>
      </c>
      <c r="S72" s="363">
        <f>S73+S75</f>
        <v>0</v>
      </c>
      <c r="T72" s="371"/>
      <c r="U72" s="371"/>
      <c r="V72" s="343">
        <f t="shared" si="8"/>
        <v>0</v>
      </c>
    </row>
    <row r="73" spans="1:22" ht="21.75" customHeight="1" hidden="1">
      <c r="A73" s="268" t="s">
        <v>713</v>
      </c>
      <c r="B73" s="6" t="s">
        <v>355</v>
      </c>
      <c r="C73" s="46"/>
      <c r="D73" s="46">
        <v>75405</v>
      </c>
      <c r="E73" s="372"/>
      <c r="F73" s="359">
        <f>F74</f>
        <v>9000</v>
      </c>
      <c r="G73" s="360">
        <f>G74</f>
        <v>9700</v>
      </c>
      <c r="H73" s="361">
        <f>IF(F73&gt;0,G73/F73*100,"")</f>
        <v>107.77777777777777</v>
      </c>
      <c r="I73" s="362" t="e">
        <f>F73/F183</f>
        <v>#REF!</v>
      </c>
      <c r="J73" s="241"/>
      <c r="K73" s="241">
        <f aca="true" t="shared" si="13" ref="K73:R73">K74</f>
        <v>0</v>
      </c>
      <c r="L73" s="241">
        <f t="shared" si="13"/>
        <v>0</v>
      </c>
      <c r="M73" s="241">
        <f t="shared" si="13"/>
        <v>5000</v>
      </c>
      <c r="N73" s="241">
        <f t="shared" si="13"/>
        <v>0</v>
      </c>
      <c r="O73" s="241">
        <f t="shared" si="13"/>
        <v>0</v>
      </c>
      <c r="P73" s="363">
        <f t="shared" si="13"/>
        <v>0</v>
      </c>
      <c r="Q73" s="363">
        <f t="shared" si="13"/>
        <v>0</v>
      </c>
      <c r="R73" s="363">
        <f t="shared" si="13"/>
        <v>0</v>
      </c>
      <c r="S73" s="236"/>
      <c r="T73" s="238"/>
      <c r="U73" s="238"/>
      <c r="V73" s="343">
        <f t="shared" si="8"/>
        <v>0</v>
      </c>
    </row>
    <row r="74" spans="1:22" ht="0.75" customHeight="1" hidden="1">
      <c r="A74" s="116"/>
      <c r="B74" s="8" t="s">
        <v>715</v>
      </c>
      <c r="C74" s="14"/>
      <c r="D74" s="14"/>
      <c r="E74" s="345" t="s">
        <v>716</v>
      </c>
      <c r="F74" s="338">
        <v>9000</v>
      </c>
      <c r="G74" s="339">
        <v>9700</v>
      </c>
      <c r="H74" s="340">
        <f>IF(F74&gt;0,G74/F74*100,"")</f>
        <v>107.77777777777777</v>
      </c>
      <c r="I74" s="341" t="e">
        <f>F74/F183</f>
        <v>#REF!</v>
      </c>
      <c r="J74" s="236"/>
      <c r="K74" s="236">
        <v>0</v>
      </c>
      <c r="L74" s="236">
        <v>0</v>
      </c>
      <c r="M74" s="236">
        <v>5000</v>
      </c>
      <c r="N74" s="236">
        <v>0</v>
      </c>
      <c r="O74" s="236">
        <v>0</v>
      </c>
      <c r="P74" s="236">
        <v>0</v>
      </c>
      <c r="Q74" s="236">
        <v>0</v>
      </c>
      <c r="R74" s="236">
        <v>0</v>
      </c>
      <c r="S74" s="236"/>
      <c r="T74" s="238"/>
      <c r="U74" s="238"/>
      <c r="V74" s="343">
        <f t="shared" si="8"/>
        <v>0</v>
      </c>
    </row>
    <row r="75" spans="1:22" ht="24.75" customHeight="1" hidden="1">
      <c r="A75" s="268" t="s">
        <v>713</v>
      </c>
      <c r="B75" s="3" t="s">
        <v>574</v>
      </c>
      <c r="C75" s="23"/>
      <c r="D75" s="23" t="s">
        <v>371</v>
      </c>
      <c r="E75" s="368"/>
      <c r="F75" s="359">
        <f>F76</f>
        <v>9600</v>
      </c>
      <c r="G75" s="360">
        <f>G76</f>
        <v>10000</v>
      </c>
      <c r="H75" s="361">
        <f>IF(F75&gt;0,G75/F75*100,"")</f>
        <v>104.16666666666667</v>
      </c>
      <c r="I75" s="362" t="e">
        <f>F75/F183</f>
        <v>#REF!</v>
      </c>
      <c r="J75" s="241"/>
      <c r="K75" s="241">
        <f aca="true" t="shared" si="14" ref="K75:S75">K76</f>
        <v>0</v>
      </c>
      <c r="L75" s="241">
        <f t="shared" si="14"/>
        <v>0</v>
      </c>
      <c r="M75" s="241">
        <f t="shared" si="14"/>
        <v>1000</v>
      </c>
      <c r="N75" s="241">
        <f t="shared" si="14"/>
        <v>0</v>
      </c>
      <c r="O75" s="241">
        <f t="shared" si="14"/>
        <v>0</v>
      </c>
      <c r="P75" s="363">
        <f t="shared" si="14"/>
        <v>1000</v>
      </c>
      <c r="Q75" s="363">
        <f t="shared" si="14"/>
        <v>0</v>
      </c>
      <c r="R75" s="363">
        <f t="shared" si="14"/>
        <v>0</v>
      </c>
      <c r="S75" s="363">
        <f t="shared" si="14"/>
        <v>0</v>
      </c>
      <c r="T75" s="371"/>
      <c r="U75" s="371"/>
      <c r="V75" s="343">
        <f t="shared" si="8"/>
        <v>0</v>
      </c>
    </row>
    <row r="76" spans="1:22" ht="13.5" customHeight="1" hidden="1">
      <c r="A76" s="116"/>
      <c r="B76" s="8" t="s">
        <v>715</v>
      </c>
      <c r="C76" s="14"/>
      <c r="D76" s="14"/>
      <c r="E76" s="345" t="s">
        <v>122</v>
      </c>
      <c r="F76" s="338">
        <v>9600</v>
      </c>
      <c r="G76" s="339">
        <v>10000</v>
      </c>
      <c r="H76" s="340">
        <f>IF(F76&gt;0,G76/F76*100,"")</f>
        <v>104.16666666666667</v>
      </c>
      <c r="I76" s="341" t="e">
        <f>F76/F183</f>
        <v>#REF!</v>
      </c>
      <c r="J76" s="236"/>
      <c r="K76" s="236">
        <v>0</v>
      </c>
      <c r="L76" s="236">
        <v>0</v>
      </c>
      <c r="M76" s="236">
        <v>1000</v>
      </c>
      <c r="N76" s="236">
        <v>0</v>
      </c>
      <c r="O76" s="236">
        <v>0</v>
      </c>
      <c r="P76" s="236">
        <v>1000</v>
      </c>
      <c r="Q76" s="236">
        <v>0</v>
      </c>
      <c r="R76" s="236">
        <v>0</v>
      </c>
      <c r="S76" s="236">
        <v>0</v>
      </c>
      <c r="T76" s="238"/>
      <c r="U76" s="238"/>
      <c r="V76" s="343">
        <f t="shared" si="8"/>
        <v>0</v>
      </c>
    </row>
    <row r="77" spans="1:22" ht="21.75" customHeight="1">
      <c r="A77" s="116"/>
      <c r="B77" s="119" t="s">
        <v>93</v>
      </c>
      <c r="C77" s="14"/>
      <c r="D77" s="14"/>
      <c r="E77" s="342">
        <v>2110</v>
      </c>
      <c r="F77" s="338"/>
      <c r="G77" s="339"/>
      <c r="H77" s="340"/>
      <c r="I77" s="341"/>
      <c r="J77" s="236"/>
      <c r="K77" s="236"/>
      <c r="L77" s="236"/>
      <c r="M77" s="236"/>
      <c r="N77" s="236"/>
      <c r="O77" s="236"/>
      <c r="P77" s="236"/>
      <c r="Q77" s="236"/>
      <c r="R77" s="236"/>
      <c r="S77" s="236">
        <v>3000</v>
      </c>
      <c r="T77" s="238"/>
      <c r="U77" s="238"/>
      <c r="V77" s="343">
        <f t="shared" si="8"/>
        <v>3000</v>
      </c>
    </row>
    <row r="78" spans="1:22" ht="35.25" customHeight="1">
      <c r="A78" s="266" t="s">
        <v>632</v>
      </c>
      <c r="B78" s="256" t="s">
        <v>140</v>
      </c>
      <c r="C78" s="252" t="s">
        <v>1</v>
      </c>
      <c r="D78" s="254"/>
      <c r="E78" s="367"/>
      <c r="F78" s="335">
        <f>F79</f>
        <v>285742</v>
      </c>
      <c r="G78" s="357">
        <f>G79</f>
        <v>239445</v>
      </c>
      <c r="H78" s="348">
        <f>IF(F78&gt;0,G78/F78*100,"")</f>
        <v>83.79762163070183</v>
      </c>
      <c r="I78" s="358" t="e">
        <f>F78/F183</f>
        <v>#REF!</v>
      </c>
      <c r="J78" s="337"/>
      <c r="K78" s="337">
        <f aca="true" t="shared" si="15" ref="K78:U79">K79</f>
        <v>0</v>
      </c>
      <c r="L78" s="337">
        <f t="shared" si="15"/>
        <v>0</v>
      </c>
      <c r="M78" s="337">
        <f t="shared" si="15"/>
        <v>134163</v>
      </c>
      <c r="N78" s="337">
        <f t="shared" si="15"/>
        <v>0</v>
      </c>
      <c r="O78" s="337">
        <f t="shared" si="15"/>
        <v>0</v>
      </c>
      <c r="P78" s="349">
        <f t="shared" si="15"/>
        <v>141331</v>
      </c>
      <c r="Q78" s="349">
        <f t="shared" si="15"/>
        <v>0</v>
      </c>
      <c r="R78" s="349">
        <f t="shared" si="15"/>
        <v>0</v>
      </c>
      <c r="S78" s="349">
        <f t="shared" si="15"/>
        <v>2056187</v>
      </c>
      <c r="T78" s="349">
        <f t="shared" si="15"/>
        <v>0</v>
      </c>
      <c r="U78" s="349">
        <f t="shared" si="15"/>
        <v>0</v>
      </c>
      <c r="V78" s="370">
        <f t="shared" si="8"/>
        <v>2056187</v>
      </c>
    </row>
    <row r="79" spans="1:22" s="83" customFormat="1" ht="26.25" customHeight="1">
      <c r="A79" s="480" t="s">
        <v>713</v>
      </c>
      <c r="B79" s="397" t="s">
        <v>138</v>
      </c>
      <c r="C79" s="380"/>
      <c r="D79" s="380" t="s">
        <v>2</v>
      </c>
      <c r="E79" s="381"/>
      <c r="F79" s="382">
        <f>F80</f>
        <v>285742</v>
      </c>
      <c r="G79" s="383">
        <f>G80</f>
        <v>239445</v>
      </c>
      <c r="H79" s="384">
        <f>IF(F79&gt;0,G79/F79*100,"")</f>
        <v>83.79762163070183</v>
      </c>
      <c r="I79" s="385" t="e">
        <f>F79/F183</f>
        <v>#REF!</v>
      </c>
      <c r="J79" s="386"/>
      <c r="K79" s="386">
        <f t="shared" si="15"/>
        <v>0</v>
      </c>
      <c r="L79" s="386">
        <f t="shared" si="15"/>
        <v>0</v>
      </c>
      <c r="M79" s="386">
        <f t="shared" si="15"/>
        <v>134163</v>
      </c>
      <c r="N79" s="386">
        <f t="shared" si="15"/>
        <v>0</v>
      </c>
      <c r="O79" s="386">
        <f t="shared" si="15"/>
        <v>0</v>
      </c>
      <c r="P79" s="389">
        <f t="shared" si="15"/>
        <v>141331</v>
      </c>
      <c r="Q79" s="389">
        <f t="shared" si="15"/>
        <v>0</v>
      </c>
      <c r="R79" s="389">
        <f t="shared" si="15"/>
        <v>0</v>
      </c>
      <c r="S79" s="389">
        <f>S80+S81</f>
        <v>2056187</v>
      </c>
      <c r="T79" s="389">
        <f>T80+T81</f>
        <v>0</v>
      </c>
      <c r="U79" s="389">
        <f>U80+U81</f>
        <v>0</v>
      </c>
      <c r="V79" s="387">
        <f t="shared" si="8"/>
        <v>2056187</v>
      </c>
    </row>
    <row r="80" spans="1:22" ht="17.25" customHeight="1">
      <c r="A80" s="116"/>
      <c r="B80" s="119" t="s">
        <v>139</v>
      </c>
      <c r="C80" s="14"/>
      <c r="D80" s="14"/>
      <c r="E80" s="345" t="s">
        <v>128</v>
      </c>
      <c r="F80" s="338">
        <v>285742</v>
      </c>
      <c r="G80" s="339">
        <v>239445</v>
      </c>
      <c r="H80" s="340">
        <f>IF(F80&gt;0,G80/F80*100,"")</f>
        <v>83.79762163070183</v>
      </c>
      <c r="I80" s="341" t="e">
        <f>F80/F183</f>
        <v>#REF!</v>
      </c>
      <c r="J80" s="236"/>
      <c r="K80" s="236">
        <v>0</v>
      </c>
      <c r="L80" s="236">
        <v>0</v>
      </c>
      <c r="M80" s="236">
        <v>134163</v>
      </c>
      <c r="N80" s="236">
        <v>0</v>
      </c>
      <c r="O80" s="236">
        <v>0</v>
      </c>
      <c r="P80" s="236">
        <v>141331</v>
      </c>
      <c r="Q80" s="236">
        <v>0</v>
      </c>
      <c r="R80" s="236">
        <v>0</v>
      </c>
      <c r="S80" s="236">
        <v>1971187</v>
      </c>
      <c r="T80" s="238">
        <v>0</v>
      </c>
      <c r="U80" s="238"/>
      <c r="V80" s="343">
        <f t="shared" si="8"/>
        <v>1971187</v>
      </c>
    </row>
    <row r="81" spans="1:22" ht="17.25" customHeight="1">
      <c r="A81" s="116"/>
      <c r="B81" s="119" t="s">
        <v>272</v>
      </c>
      <c r="C81" s="14"/>
      <c r="D81" s="14"/>
      <c r="E81" s="345" t="s">
        <v>129</v>
      </c>
      <c r="F81" s="338"/>
      <c r="G81" s="339"/>
      <c r="H81" s="340"/>
      <c r="I81" s="341"/>
      <c r="J81" s="236"/>
      <c r="K81" s="236"/>
      <c r="L81" s="236"/>
      <c r="M81" s="236"/>
      <c r="N81" s="236"/>
      <c r="O81" s="236"/>
      <c r="P81" s="236"/>
      <c r="Q81" s="236"/>
      <c r="R81" s="236"/>
      <c r="S81" s="236">
        <v>85000</v>
      </c>
      <c r="T81" s="238"/>
      <c r="U81" s="238"/>
      <c r="V81" s="343">
        <f t="shared" si="8"/>
        <v>85000</v>
      </c>
    </row>
    <row r="82" spans="1:22" ht="18" customHeight="1">
      <c r="A82" s="266" t="s">
        <v>703</v>
      </c>
      <c r="B82" s="253" t="s">
        <v>3</v>
      </c>
      <c r="C82" s="246">
        <v>758</v>
      </c>
      <c r="D82" s="255"/>
      <c r="E82" s="334"/>
      <c r="F82" s="335" t="e">
        <f>F90+#REF!</f>
        <v>#REF!</v>
      </c>
      <c r="G82" s="357" t="e">
        <f>#REF!+G90</f>
        <v>#REF!</v>
      </c>
      <c r="H82" s="348" t="e">
        <f>IF(F82&gt;0,G82/F82*100,"")</f>
        <v>#REF!</v>
      </c>
      <c r="I82" s="358" t="e">
        <f>F82/F183</f>
        <v>#REF!</v>
      </c>
      <c r="J82" s="337"/>
      <c r="K82" s="337">
        <f aca="true" t="shared" si="16" ref="K82:R82">K90</f>
        <v>0</v>
      </c>
      <c r="L82" s="337">
        <f t="shared" si="16"/>
        <v>0</v>
      </c>
      <c r="M82" s="337">
        <f t="shared" si="16"/>
        <v>60000</v>
      </c>
      <c r="N82" s="337">
        <f t="shared" si="16"/>
        <v>0</v>
      </c>
      <c r="O82" s="337">
        <f t="shared" si="16"/>
        <v>0</v>
      </c>
      <c r="P82" s="349">
        <f t="shared" si="16"/>
        <v>20000</v>
      </c>
      <c r="Q82" s="349">
        <f t="shared" si="16"/>
        <v>0</v>
      </c>
      <c r="R82" s="349">
        <f t="shared" si="16"/>
        <v>0</v>
      </c>
      <c r="S82" s="349">
        <f>S83+S85+S87+S90+S92</f>
        <v>16572092</v>
      </c>
      <c r="T82" s="349">
        <f>T83+T85+T87+T90+T92</f>
        <v>0</v>
      </c>
      <c r="U82" s="349">
        <f>U83+U85+U87+U90+U92</f>
        <v>0</v>
      </c>
      <c r="V82" s="373">
        <f t="shared" si="8"/>
        <v>16572092</v>
      </c>
    </row>
    <row r="83" spans="1:22" s="275" customFormat="1" ht="28.5" customHeight="1">
      <c r="A83" s="480" t="s">
        <v>713</v>
      </c>
      <c r="B83" s="388" t="s">
        <v>94</v>
      </c>
      <c r="C83" s="396"/>
      <c r="D83" s="396">
        <v>75801</v>
      </c>
      <c r="E83" s="393"/>
      <c r="F83" s="382"/>
      <c r="G83" s="383"/>
      <c r="H83" s="384"/>
      <c r="I83" s="385"/>
      <c r="J83" s="386"/>
      <c r="K83" s="386"/>
      <c r="L83" s="386"/>
      <c r="M83" s="386"/>
      <c r="N83" s="386"/>
      <c r="O83" s="386"/>
      <c r="P83" s="389"/>
      <c r="Q83" s="389"/>
      <c r="R83" s="389"/>
      <c r="S83" s="389">
        <f>S84</f>
        <v>13235322</v>
      </c>
      <c r="T83" s="389">
        <f>T84</f>
        <v>0</v>
      </c>
      <c r="U83" s="389">
        <f>U84</f>
        <v>0</v>
      </c>
      <c r="V83" s="387">
        <f t="shared" si="8"/>
        <v>13235322</v>
      </c>
    </row>
    <row r="84" spans="1:22" ht="21.75" customHeight="1">
      <c r="A84" s="116"/>
      <c r="B84" s="119" t="s">
        <v>627</v>
      </c>
      <c r="C84" s="29"/>
      <c r="D84" s="29"/>
      <c r="E84" s="345" t="s">
        <v>131</v>
      </c>
      <c r="F84" s="338"/>
      <c r="G84" s="339"/>
      <c r="H84" s="340"/>
      <c r="I84" s="341"/>
      <c r="J84" s="236"/>
      <c r="K84" s="236"/>
      <c r="L84" s="236"/>
      <c r="M84" s="346"/>
      <c r="N84" s="346"/>
      <c r="O84" s="346"/>
      <c r="P84" s="236"/>
      <c r="Q84" s="236"/>
      <c r="R84" s="236"/>
      <c r="S84" s="236">
        <v>13235322</v>
      </c>
      <c r="T84" s="238">
        <v>0</v>
      </c>
      <c r="U84" s="238"/>
      <c r="V84" s="343">
        <f t="shared" si="8"/>
        <v>13235322</v>
      </c>
    </row>
    <row r="85" spans="1:22" ht="24.75" customHeight="1">
      <c r="A85" s="482" t="s">
        <v>717</v>
      </c>
      <c r="B85" s="395" t="s">
        <v>335</v>
      </c>
      <c r="C85" s="392"/>
      <c r="D85" s="392">
        <v>75802</v>
      </c>
      <c r="E85" s="381"/>
      <c r="F85" s="382"/>
      <c r="G85" s="383"/>
      <c r="H85" s="384"/>
      <c r="I85" s="385"/>
      <c r="J85" s="386"/>
      <c r="K85" s="386"/>
      <c r="L85" s="386"/>
      <c r="M85" s="389"/>
      <c r="N85" s="389"/>
      <c r="O85" s="389"/>
      <c r="P85" s="386"/>
      <c r="Q85" s="386"/>
      <c r="R85" s="386"/>
      <c r="S85" s="386">
        <f>S86</f>
        <v>200000</v>
      </c>
      <c r="T85" s="386">
        <f>T86</f>
        <v>0</v>
      </c>
      <c r="U85" s="386">
        <f>U86</f>
        <v>0</v>
      </c>
      <c r="V85" s="387">
        <f t="shared" si="8"/>
        <v>200000</v>
      </c>
    </row>
    <row r="86" spans="1:22" ht="25.5" customHeight="1">
      <c r="A86" s="116"/>
      <c r="B86" s="119" t="s">
        <v>337</v>
      </c>
      <c r="C86" s="29"/>
      <c r="D86" s="29"/>
      <c r="E86" s="345" t="s">
        <v>336</v>
      </c>
      <c r="F86" s="338"/>
      <c r="G86" s="339"/>
      <c r="H86" s="340"/>
      <c r="I86" s="341"/>
      <c r="J86" s="236"/>
      <c r="K86" s="236"/>
      <c r="L86" s="236"/>
      <c r="M86" s="346"/>
      <c r="N86" s="346"/>
      <c r="O86" s="346"/>
      <c r="P86" s="236"/>
      <c r="Q86" s="236"/>
      <c r="R86" s="236"/>
      <c r="S86" s="236">
        <v>200000</v>
      </c>
      <c r="T86" s="238">
        <v>0</v>
      </c>
      <c r="U86" s="238"/>
      <c r="V86" s="343">
        <f t="shared" si="8"/>
        <v>200000</v>
      </c>
    </row>
    <row r="87" spans="1:22" s="275" customFormat="1" ht="26.25" customHeight="1">
      <c r="A87" s="480" t="s">
        <v>6</v>
      </c>
      <c r="B87" s="388" t="s">
        <v>80</v>
      </c>
      <c r="C87" s="396"/>
      <c r="D87" s="396">
        <v>75803</v>
      </c>
      <c r="E87" s="381"/>
      <c r="F87" s="382">
        <v>857613</v>
      </c>
      <c r="G87" s="383">
        <v>912417</v>
      </c>
      <c r="H87" s="384">
        <f>IF(F87&gt;0,G87/F87*100,"")</f>
        <v>106.39029492323459</v>
      </c>
      <c r="I87" s="385" t="e">
        <f>F87/F183</f>
        <v>#REF!</v>
      </c>
      <c r="J87" s="386"/>
      <c r="K87" s="386">
        <v>0</v>
      </c>
      <c r="L87" s="386">
        <v>0</v>
      </c>
      <c r="M87" s="389">
        <v>531382</v>
      </c>
      <c r="N87" s="389">
        <v>0</v>
      </c>
      <c r="O87" s="389">
        <v>0</v>
      </c>
      <c r="P87" s="386">
        <v>543491</v>
      </c>
      <c r="Q87" s="386">
        <v>0</v>
      </c>
      <c r="R87" s="386">
        <v>0</v>
      </c>
      <c r="S87" s="386">
        <f>S88+S89</f>
        <v>1619480</v>
      </c>
      <c r="T87" s="386">
        <f>T88+T89</f>
        <v>0</v>
      </c>
      <c r="U87" s="386">
        <f>U88+U89</f>
        <v>0</v>
      </c>
      <c r="V87" s="387">
        <f t="shared" si="8"/>
        <v>1619480</v>
      </c>
    </row>
    <row r="88" spans="1:22" ht="19.5" customHeight="1">
      <c r="A88" s="68"/>
      <c r="B88" s="119" t="s">
        <v>628</v>
      </c>
      <c r="C88" s="29"/>
      <c r="D88" s="29"/>
      <c r="E88" s="345" t="s">
        <v>131</v>
      </c>
      <c r="F88" s="338"/>
      <c r="G88" s="339"/>
      <c r="H88" s="340"/>
      <c r="I88" s="341"/>
      <c r="J88" s="236"/>
      <c r="K88" s="236"/>
      <c r="L88" s="236"/>
      <c r="M88" s="346"/>
      <c r="N88" s="346"/>
      <c r="O88" s="346"/>
      <c r="P88" s="236"/>
      <c r="Q88" s="236"/>
      <c r="R88" s="236"/>
      <c r="S88" s="236">
        <v>1314250</v>
      </c>
      <c r="T88" s="238"/>
      <c r="U88" s="238"/>
      <c r="V88" s="343">
        <f t="shared" si="8"/>
        <v>1314250</v>
      </c>
    </row>
    <row r="89" spans="1:23" ht="21.75" customHeight="1">
      <c r="A89" s="68"/>
      <c r="B89" s="119" t="s">
        <v>563</v>
      </c>
      <c r="C89" s="29"/>
      <c r="D89" s="29"/>
      <c r="E89" s="345" t="s">
        <v>131</v>
      </c>
      <c r="F89" s="338"/>
      <c r="G89" s="339"/>
      <c r="H89" s="340"/>
      <c r="I89" s="341"/>
      <c r="J89" s="236"/>
      <c r="K89" s="236"/>
      <c r="L89" s="236"/>
      <c r="M89" s="346"/>
      <c r="N89" s="346"/>
      <c r="O89" s="346"/>
      <c r="P89" s="236"/>
      <c r="Q89" s="236"/>
      <c r="R89" s="236"/>
      <c r="S89" s="236">
        <v>305230</v>
      </c>
      <c r="T89" s="238"/>
      <c r="U89" s="238"/>
      <c r="V89" s="343">
        <f t="shared" si="8"/>
        <v>305230</v>
      </c>
      <c r="W89" s="168"/>
    </row>
    <row r="90" spans="1:22" s="83" customFormat="1" ht="17.25" customHeight="1">
      <c r="A90" s="480" t="s">
        <v>8</v>
      </c>
      <c r="B90" s="388" t="s">
        <v>4</v>
      </c>
      <c r="C90" s="396"/>
      <c r="D90" s="396">
        <v>75814</v>
      </c>
      <c r="E90" s="381"/>
      <c r="F90" s="382">
        <f>F91</f>
        <v>90000</v>
      </c>
      <c r="G90" s="383">
        <f>G91</f>
        <v>100000</v>
      </c>
      <c r="H90" s="384">
        <f>IF(F90&gt;0,G90/F90*100,"")</f>
        <v>111.11111111111111</v>
      </c>
      <c r="I90" s="385" t="e">
        <f>F90/F183</f>
        <v>#REF!</v>
      </c>
      <c r="J90" s="386"/>
      <c r="K90" s="386">
        <f aca="true" t="shared" si="17" ref="K90:U90">K91</f>
        <v>0</v>
      </c>
      <c r="L90" s="386">
        <f t="shared" si="17"/>
        <v>0</v>
      </c>
      <c r="M90" s="386">
        <f t="shared" si="17"/>
        <v>60000</v>
      </c>
      <c r="N90" s="386">
        <f t="shared" si="17"/>
        <v>0</v>
      </c>
      <c r="O90" s="386">
        <f t="shared" si="17"/>
        <v>0</v>
      </c>
      <c r="P90" s="389">
        <f t="shared" si="17"/>
        <v>20000</v>
      </c>
      <c r="Q90" s="389">
        <f t="shared" si="17"/>
        <v>0</v>
      </c>
      <c r="R90" s="389">
        <f t="shared" si="17"/>
        <v>0</v>
      </c>
      <c r="S90" s="389">
        <f t="shared" si="17"/>
        <v>65000</v>
      </c>
      <c r="T90" s="389">
        <f t="shared" si="17"/>
        <v>0</v>
      </c>
      <c r="U90" s="389">
        <f t="shared" si="17"/>
        <v>0</v>
      </c>
      <c r="V90" s="387">
        <f t="shared" si="8"/>
        <v>65000</v>
      </c>
    </row>
    <row r="91" spans="1:22" ht="20.25" customHeight="1">
      <c r="A91" s="116"/>
      <c r="B91" s="119" t="s">
        <v>715</v>
      </c>
      <c r="C91" s="29"/>
      <c r="D91" s="29"/>
      <c r="E91" s="345" t="s">
        <v>122</v>
      </c>
      <c r="F91" s="338">
        <v>90000</v>
      </c>
      <c r="G91" s="339">
        <v>100000</v>
      </c>
      <c r="H91" s="340">
        <f>IF(F91&gt;0,G91/F91*100,"")</f>
        <v>111.11111111111111</v>
      </c>
      <c r="I91" s="341" t="e">
        <f>F91/F183</f>
        <v>#REF!</v>
      </c>
      <c r="J91" s="236"/>
      <c r="K91" s="236">
        <v>0</v>
      </c>
      <c r="L91" s="236">
        <v>0</v>
      </c>
      <c r="M91" s="236">
        <v>60000</v>
      </c>
      <c r="N91" s="236">
        <v>0</v>
      </c>
      <c r="O91" s="236">
        <v>0</v>
      </c>
      <c r="P91" s="236">
        <v>20000</v>
      </c>
      <c r="Q91" s="236">
        <v>0</v>
      </c>
      <c r="R91" s="236">
        <v>0</v>
      </c>
      <c r="S91" s="236">
        <v>65000</v>
      </c>
      <c r="T91" s="238"/>
      <c r="U91" s="238"/>
      <c r="V91" s="343">
        <f t="shared" si="8"/>
        <v>65000</v>
      </c>
    </row>
    <row r="92" spans="1:23" s="173" customFormat="1" ht="25.5" customHeight="1">
      <c r="A92" s="480" t="s">
        <v>334</v>
      </c>
      <c r="B92" s="388" t="s">
        <v>216</v>
      </c>
      <c r="C92" s="396"/>
      <c r="D92" s="396">
        <v>75832</v>
      </c>
      <c r="E92" s="381"/>
      <c r="F92" s="382"/>
      <c r="G92" s="383"/>
      <c r="H92" s="384"/>
      <c r="I92" s="385"/>
      <c r="J92" s="386"/>
      <c r="K92" s="386"/>
      <c r="L92" s="386"/>
      <c r="M92" s="389"/>
      <c r="N92" s="389"/>
      <c r="O92" s="389"/>
      <c r="P92" s="386"/>
      <c r="Q92" s="386"/>
      <c r="R92" s="386"/>
      <c r="S92" s="386">
        <f>S93</f>
        <v>1452290</v>
      </c>
      <c r="T92" s="386">
        <f>T93</f>
        <v>0</v>
      </c>
      <c r="U92" s="386">
        <f>U93</f>
        <v>0</v>
      </c>
      <c r="V92" s="387">
        <f t="shared" si="8"/>
        <v>1452290</v>
      </c>
      <c r="W92" s="276"/>
    </row>
    <row r="93" spans="1:22" s="32" customFormat="1" ht="20.25" customHeight="1">
      <c r="A93" s="268"/>
      <c r="B93" s="119" t="s">
        <v>629</v>
      </c>
      <c r="C93" s="46"/>
      <c r="D93" s="46"/>
      <c r="E93" s="345" t="s">
        <v>131</v>
      </c>
      <c r="F93" s="359"/>
      <c r="G93" s="360"/>
      <c r="H93" s="361"/>
      <c r="I93" s="362"/>
      <c r="J93" s="241"/>
      <c r="K93" s="241"/>
      <c r="L93" s="241"/>
      <c r="M93" s="363"/>
      <c r="N93" s="363"/>
      <c r="O93" s="363"/>
      <c r="P93" s="241"/>
      <c r="Q93" s="241"/>
      <c r="R93" s="241"/>
      <c r="S93" s="236">
        <v>1452290</v>
      </c>
      <c r="T93" s="238"/>
      <c r="U93" s="238">
        <v>0</v>
      </c>
      <c r="V93" s="343">
        <f t="shared" si="8"/>
        <v>1452290</v>
      </c>
    </row>
    <row r="94" spans="1:22" ht="18" customHeight="1">
      <c r="A94" s="266" t="s">
        <v>691</v>
      </c>
      <c r="B94" s="253" t="s">
        <v>5</v>
      </c>
      <c r="C94" s="252" t="s">
        <v>397</v>
      </c>
      <c r="D94" s="254"/>
      <c r="E94" s="367"/>
      <c r="F94" s="335" t="e">
        <f>F95+#REF!</f>
        <v>#REF!</v>
      </c>
      <c r="G94" s="357" t="e">
        <f>G95+#REF!+G100+#REF!</f>
        <v>#REF!</v>
      </c>
      <c r="H94" s="348" t="e">
        <f>IF(F94&gt;0,G94/F94*100,"")</f>
        <v>#REF!</v>
      </c>
      <c r="I94" s="358" t="e">
        <f>F94/F183</f>
        <v>#REF!</v>
      </c>
      <c r="J94" s="337"/>
      <c r="K94" s="337" t="e">
        <f>K95+#REF!+K100+#REF!</f>
        <v>#REF!</v>
      </c>
      <c r="L94" s="337" t="e">
        <f>L95+#REF!+L100+#REF!</f>
        <v>#REF!</v>
      </c>
      <c r="M94" s="337" t="e">
        <f>M95+M100+#REF!+#REF!</f>
        <v>#REF!</v>
      </c>
      <c r="N94" s="337" t="e">
        <f>N95+N100+#REF!</f>
        <v>#REF!</v>
      </c>
      <c r="O94" s="337" t="e">
        <f>O95+O100+#REF!</f>
        <v>#REF!</v>
      </c>
      <c r="P94" s="349" t="e">
        <f>P95+P100+#REF!+#REF!</f>
        <v>#REF!</v>
      </c>
      <c r="Q94" s="349" t="e">
        <f>Q95+Q100+#REF!+#REF!</f>
        <v>#REF!</v>
      </c>
      <c r="R94" s="349" t="e">
        <f>R95+R100+#REF!+#REF!</f>
        <v>#REF!</v>
      </c>
      <c r="S94" s="349">
        <f>S95+S100+S107</f>
        <v>427605</v>
      </c>
      <c r="T94" s="349">
        <f>T95+T100+T107</f>
        <v>0</v>
      </c>
      <c r="U94" s="349">
        <f>U95+U100+U107</f>
        <v>0</v>
      </c>
      <c r="V94" s="373">
        <f t="shared" si="8"/>
        <v>427605</v>
      </c>
    </row>
    <row r="95" spans="1:22" s="83" customFormat="1" ht="16.5" customHeight="1">
      <c r="A95" s="480" t="s">
        <v>713</v>
      </c>
      <c r="B95" s="379" t="s">
        <v>416</v>
      </c>
      <c r="C95" s="380"/>
      <c r="D95" s="380" t="s">
        <v>415</v>
      </c>
      <c r="E95" s="381"/>
      <c r="F95" s="382" t="e">
        <f>F96+F97+#REF!+#REF!</f>
        <v>#REF!</v>
      </c>
      <c r="G95" s="383" t="e">
        <f>G96+G97+#REF!+#REF!</f>
        <v>#REF!</v>
      </c>
      <c r="H95" s="384" t="e">
        <f>IF(F95&gt;0,G95/F95*100,"")</f>
        <v>#REF!</v>
      </c>
      <c r="I95" s="385" t="e">
        <f>F95/F183</f>
        <v>#REF!</v>
      </c>
      <c r="J95" s="386"/>
      <c r="K95" s="386" t="e">
        <f>K96+K97+#REF!+#REF!</f>
        <v>#REF!</v>
      </c>
      <c r="L95" s="386" t="e">
        <f>L96+L97+#REF!+#REF!</f>
        <v>#REF!</v>
      </c>
      <c r="M95" s="386" t="e">
        <f>M96+M97+#REF!+#REF!+#REF!</f>
        <v>#REF!</v>
      </c>
      <c r="N95" s="386" t="e">
        <f>N96+N97+#REF!+#REF!+#REF!</f>
        <v>#REF!</v>
      </c>
      <c r="O95" s="386" t="e">
        <f>O96+O97+#REF!+#REF!+#REF!</f>
        <v>#REF!</v>
      </c>
      <c r="P95" s="386" t="e">
        <f>P96+P97+#REF!+#REF!</f>
        <v>#REF!</v>
      </c>
      <c r="Q95" s="386" t="e">
        <f>Q96+Q97+#REF!+#REF!</f>
        <v>#REF!</v>
      </c>
      <c r="R95" s="386" t="e">
        <f>R96+R97+#REF!+#REF!</f>
        <v>#REF!</v>
      </c>
      <c r="S95" s="386">
        <f>S96+S97+S98+S99</f>
        <v>17830</v>
      </c>
      <c r="T95" s="386">
        <f>T96+T97+T98+T99</f>
        <v>0</v>
      </c>
      <c r="U95" s="386">
        <f>U96+U97+U98+U99</f>
        <v>0</v>
      </c>
      <c r="V95" s="387">
        <f>S95+T95-U95</f>
        <v>17830</v>
      </c>
    </row>
    <row r="96" spans="1:22" ht="18" customHeight="1">
      <c r="A96" s="116"/>
      <c r="B96" s="120" t="s">
        <v>719</v>
      </c>
      <c r="C96" s="14"/>
      <c r="D96" s="14"/>
      <c r="E96" s="345" t="s">
        <v>123</v>
      </c>
      <c r="F96" s="338">
        <v>490</v>
      </c>
      <c r="G96" s="339">
        <v>500</v>
      </c>
      <c r="H96" s="340">
        <f>IF(F96&gt;0,G96/F96*100,"")</f>
        <v>102.04081632653062</v>
      </c>
      <c r="I96" s="341" t="e">
        <f>F96/F183</f>
        <v>#REF!</v>
      </c>
      <c r="J96" s="236"/>
      <c r="K96" s="236">
        <v>0</v>
      </c>
      <c r="L96" s="236">
        <v>0</v>
      </c>
      <c r="M96" s="236">
        <v>450</v>
      </c>
      <c r="N96" s="236">
        <v>0</v>
      </c>
      <c r="O96" s="236">
        <v>0</v>
      </c>
      <c r="P96" s="236">
        <v>600</v>
      </c>
      <c r="Q96" s="236">
        <v>0</v>
      </c>
      <c r="R96" s="236">
        <v>0</v>
      </c>
      <c r="S96" s="236">
        <v>400</v>
      </c>
      <c r="T96" s="238"/>
      <c r="U96" s="238"/>
      <c r="V96" s="343">
        <f t="shared" si="8"/>
        <v>400</v>
      </c>
    </row>
    <row r="97" spans="1:22" ht="21.75" customHeight="1">
      <c r="A97" s="116"/>
      <c r="B97" s="119" t="s">
        <v>170</v>
      </c>
      <c r="C97" s="14"/>
      <c r="D97" s="14"/>
      <c r="E97" s="345" t="s">
        <v>124</v>
      </c>
      <c r="F97" s="338">
        <v>41300</v>
      </c>
      <c r="G97" s="339">
        <v>53461</v>
      </c>
      <c r="H97" s="340">
        <f>IF(F97&gt;0,G97/F97*100,"")</f>
        <v>129.4455205811138</v>
      </c>
      <c r="I97" s="341" t="e">
        <f>F97/F183</f>
        <v>#REF!</v>
      </c>
      <c r="J97" s="236"/>
      <c r="K97" s="236">
        <v>0</v>
      </c>
      <c r="L97" s="236">
        <v>0</v>
      </c>
      <c r="M97" s="236">
        <v>39124</v>
      </c>
      <c r="N97" s="236">
        <v>0</v>
      </c>
      <c r="O97" s="236">
        <v>0</v>
      </c>
      <c r="P97" s="236">
        <v>29000</v>
      </c>
      <c r="Q97" s="236">
        <v>0</v>
      </c>
      <c r="R97" s="236">
        <v>4000</v>
      </c>
      <c r="S97" s="236">
        <v>17000</v>
      </c>
      <c r="T97" s="238"/>
      <c r="U97" s="238"/>
      <c r="V97" s="343">
        <f t="shared" si="8"/>
        <v>17000</v>
      </c>
    </row>
    <row r="98" spans="1:22" ht="15.75" customHeight="1">
      <c r="A98" s="116"/>
      <c r="B98" s="119" t="s">
        <v>722</v>
      </c>
      <c r="C98" s="14"/>
      <c r="D98" s="14"/>
      <c r="E98" s="345" t="s">
        <v>125</v>
      </c>
      <c r="F98" s="338"/>
      <c r="G98" s="339"/>
      <c r="H98" s="340"/>
      <c r="I98" s="341"/>
      <c r="J98" s="236"/>
      <c r="K98" s="236"/>
      <c r="L98" s="236"/>
      <c r="M98" s="236"/>
      <c r="N98" s="236"/>
      <c r="O98" s="236"/>
      <c r="P98" s="236"/>
      <c r="Q98" s="236"/>
      <c r="R98" s="236"/>
      <c r="S98" s="236">
        <v>0</v>
      </c>
      <c r="T98" s="238"/>
      <c r="U98" s="238"/>
      <c r="V98" s="343">
        <f t="shared" si="8"/>
        <v>0</v>
      </c>
    </row>
    <row r="99" spans="1:22" ht="17.25" customHeight="1">
      <c r="A99" s="116"/>
      <c r="B99" s="119" t="s">
        <v>715</v>
      </c>
      <c r="C99" s="14"/>
      <c r="D99" s="14"/>
      <c r="E99" s="345" t="s">
        <v>122</v>
      </c>
      <c r="F99" s="338"/>
      <c r="G99" s="339"/>
      <c r="H99" s="340"/>
      <c r="I99" s="341"/>
      <c r="J99" s="236"/>
      <c r="K99" s="236"/>
      <c r="L99" s="236"/>
      <c r="M99" s="236"/>
      <c r="N99" s="236"/>
      <c r="O99" s="236"/>
      <c r="P99" s="236"/>
      <c r="Q99" s="236"/>
      <c r="R99" s="236"/>
      <c r="S99" s="236">
        <v>430</v>
      </c>
      <c r="T99" s="238"/>
      <c r="U99" s="238"/>
      <c r="V99" s="343">
        <f t="shared" si="8"/>
        <v>430</v>
      </c>
    </row>
    <row r="100" spans="1:22" s="83" customFormat="1" ht="18.75" customHeight="1">
      <c r="A100" s="480" t="s">
        <v>717</v>
      </c>
      <c r="B100" s="388" t="s">
        <v>425</v>
      </c>
      <c r="C100" s="380"/>
      <c r="D100" s="380" t="s">
        <v>424</v>
      </c>
      <c r="E100" s="381"/>
      <c r="F100" s="382"/>
      <c r="G100" s="383">
        <f>G101+G102+G103+G104+G105+G106</f>
        <v>302185</v>
      </c>
      <c r="H100" s="384"/>
      <c r="I100" s="385"/>
      <c r="J100" s="386"/>
      <c r="K100" s="386">
        <f aca="true" t="shared" si="18" ref="K100:P100">K101+K102+K103+K104+K105+K106</f>
        <v>0</v>
      </c>
      <c r="L100" s="386">
        <f t="shared" si="18"/>
        <v>0</v>
      </c>
      <c r="M100" s="386">
        <f t="shared" si="18"/>
        <v>159655</v>
      </c>
      <c r="N100" s="386">
        <f t="shared" si="18"/>
        <v>0</v>
      </c>
      <c r="O100" s="386">
        <f t="shared" si="18"/>
        <v>0</v>
      </c>
      <c r="P100" s="389">
        <f t="shared" si="18"/>
        <v>252149</v>
      </c>
      <c r="Q100" s="389">
        <f>Q101+Q102+Q103+Q104+Q105+Q106</f>
        <v>0</v>
      </c>
      <c r="R100" s="389">
        <f>R101+R102+R103+R104+R105+R106</f>
        <v>0</v>
      </c>
      <c r="S100" s="389">
        <f>S101+S102+S103+S104+S105+S106</f>
        <v>119775</v>
      </c>
      <c r="T100" s="389">
        <f>T101+T102+T103+T104+T105+T106</f>
        <v>0</v>
      </c>
      <c r="U100" s="389">
        <f>U101+U102+U103+U104+U105+U106</f>
        <v>0</v>
      </c>
      <c r="V100" s="387">
        <f t="shared" si="8"/>
        <v>119775</v>
      </c>
    </row>
    <row r="101" spans="1:22" ht="25.5" customHeight="1">
      <c r="A101" s="116"/>
      <c r="B101" s="120" t="s">
        <v>719</v>
      </c>
      <c r="C101" s="14"/>
      <c r="D101" s="14"/>
      <c r="E101" s="345" t="s">
        <v>123</v>
      </c>
      <c r="F101" s="338"/>
      <c r="G101" s="339">
        <v>330</v>
      </c>
      <c r="H101" s="340"/>
      <c r="I101" s="341"/>
      <c r="J101" s="236"/>
      <c r="K101" s="236">
        <v>0</v>
      </c>
      <c r="L101" s="236"/>
      <c r="M101" s="236">
        <v>0</v>
      </c>
      <c r="N101" s="236">
        <v>0</v>
      </c>
      <c r="O101" s="236">
        <v>0</v>
      </c>
      <c r="P101" s="236">
        <v>300</v>
      </c>
      <c r="Q101" s="236">
        <v>0</v>
      </c>
      <c r="R101" s="236">
        <v>0</v>
      </c>
      <c r="S101" s="236">
        <v>300</v>
      </c>
      <c r="T101" s="238"/>
      <c r="U101" s="238"/>
      <c r="V101" s="343">
        <f t="shared" si="8"/>
        <v>300</v>
      </c>
    </row>
    <row r="102" spans="1:22" ht="23.25" customHeight="1">
      <c r="A102" s="116"/>
      <c r="B102" s="119" t="s">
        <v>170</v>
      </c>
      <c r="C102" s="14"/>
      <c r="D102" s="14"/>
      <c r="E102" s="345" t="s">
        <v>124</v>
      </c>
      <c r="F102" s="338"/>
      <c r="G102" s="339">
        <v>195458</v>
      </c>
      <c r="H102" s="340"/>
      <c r="I102" s="341"/>
      <c r="J102" s="236"/>
      <c r="K102" s="236">
        <v>0</v>
      </c>
      <c r="L102" s="236">
        <v>0</v>
      </c>
      <c r="M102" s="236">
        <v>84152</v>
      </c>
      <c r="N102" s="236">
        <v>0</v>
      </c>
      <c r="O102" s="236">
        <v>0</v>
      </c>
      <c r="P102" s="236">
        <v>180558</v>
      </c>
      <c r="Q102" s="236">
        <v>0</v>
      </c>
      <c r="R102" s="236">
        <v>0</v>
      </c>
      <c r="S102" s="236">
        <v>50800</v>
      </c>
      <c r="T102" s="238"/>
      <c r="U102" s="238">
        <v>0</v>
      </c>
      <c r="V102" s="343">
        <f t="shared" si="8"/>
        <v>50800</v>
      </c>
    </row>
    <row r="103" spans="1:22" ht="19.5" customHeight="1">
      <c r="A103" s="116"/>
      <c r="B103" s="119" t="s">
        <v>722</v>
      </c>
      <c r="C103" s="14"/>
      <c r="D103" s="14"/>
      <c r="E103" s="345" t="s">
        <v>125</v>
      </c>
      <c r="F103" s="338"/>
      <c r="G103" s="339">
        <v>92116</v>
      </c>
      <c r="H103" s="340"/>
      <c r="I103" s="341"/>
      <c r="J103" s="236"/>
      <c r="K103" s="236">
        <v>0</v>
      </c>
      <c r="L103" s="236">
        <v>0</v>
      </c>
      <c r="M103" s="236">
        <v>69767</v>
      </c>
      <c r="N103" s="236">
        <v>0</v>
      </c>
      <c r="O103" s="236">
        <v>0</v>
      </c>
      <c r="P103" s="236">
        <v>68098</v>
      </c>
      <c r="Q103" s="236">
        <v>0</v>
      </c>
      <c r="R103" s="236">
        <v>0</v>
      </c>
      <c r="S103" s="236">
        <v>58087</v>
      </c>
      <c r="T103" s="238"/>
      <c r="U103" s="238"/>
      <c r="V103" s="343">
        <f t="shared" si="8"/>
        <v>58087</v>
      </c>
    </row>
    <row r="104" spans="1:22" ht="18.75" customHeight="1">
      <c r="A104" s="116"/>
      <c r="B104" s="119" t="s">
        <v>505</v>
      </c>
      <c r="C104" s="14"/>
      <c r="D104" s="14"/>
      <c r="E104" s="345" t="s">
        <v>504</v>
      </c>
      <c r="F104" s="338"/>
      <c r="G104" s="339">
        <v>200</v>
      </c>
      <c r="H104" s="340"/>
      <c r="I104" s="341"/>
      <c r="J104" s="236"/>
      <c r="K104" s="236">
        <v>0</v>
      </c>
      <c r="L104" s="236">
        <v>0</v>
      </c>
      <c r="M104" s="236">
        <v>200</v>
      </c>
      <c r="N104" s="236">
        <v>0</v>
      </c>
      <c r="O104" s="236">
        <v>0</v>
      </c>
      <c r="P104" s="236">
        <v>230</v>
      </c>
      <c r="Q104" s="236">
        <v>0</v>
      </c>
      <c r="R104" s="236">
        <v>0</v>
      </c>
      <c r="S104" s="236">
        <v>3100</v>
      </c>
      <c r="T104" s="238">
        <v>0</v>
      </c>
      <c r="U104" s="238"/>
      <c r="V104" s="343">
        <f t="shared" si="8"/>
        <v>3100</v>
      </c>
    </row>
    <row r="105" spans="1:22" ht="19.5" customHeight="1">
      <c r="A105" s="116"/>
      <c r="B105" s="119" t="s">
        <v>715</v>
      </c>
      <c r="C105" s="14"/>
      <c r="D105" s="14"/>
      <c r="E105" s="345" t="s">
        <v>122</v>
      </c>
      <c r="F105" s="338"/>
      <c r="G105" s="339">
        <v>13881</v>
      </c>
      <c r="H105" s="340"/>
      <c r="I105" s="341"/>
      <c r="J105" s="236"/>
      <c r="K105" s="236">
        <v>0</v>
      </c>
      <c r="L105" s="236">
        <v>0</v>
      </c>
      <c r="M105" s="236">
        <v>4650</v>
      </c>
      <c r="N105" s="236">
        <v>0</v>
      </c>
      <c r="O105" s="236">
        <v>0</v>
      </c>
      <c r="P105" s="236">
        <v>1270</v>
      </c>
      <c r="Q105" s="236">
        <v>0</v>
      </c>
      <c r="R105" s="236">
        <v>0</v>
      </c>
      <c r="S105" s="236">
        <v>370</v>
      </c>
      <c r="T105" s="238">
        <v>0</v>
      </c>
      <c r="U105" s="238"/>
      <c r="V105" s="343">
        <f t="shared" si="8"/>
        <v>370</v>
      </c>
    </row>
    <row r="106" spans="1:22" ht="22.5" customHeight="1">
      <c r="A106" s="116"/>
      <c r="B106" s="119" t="s">
        <v>739</v>
      </c>
      <c r="C106" s="14"/>
      <c r="D106" s="14"/>
      <c r="E106" s="345" t="s">
        <v>126</v>
      </c>
      <c r="F106" s="338"/>
      <c r="G106" s="339">
        <v>200</v>
      </c>
      <c r="H106" s="340"/>
      <c r="I106" s="341"/>
      <c r="J106" s="236"/>
      <c r="K106" s="236">
        <v>0</v>
      </c>
      <c r="L106" s="236">
        <v>0</v>
      </c>
      <c r="M106" s="236">
        <v>886</v>
      </c>
      <c r="N106" s="236">
        <v>0</v>
      </c>
      <c r="O106" s="236">
        <v>0</v>
      </c>
      <c r="P106" s="236">
        <v>1693</v>
      </c>
      <c r="Q106" s="236">
        <v>0</v>
      </c>
      <c r="R106" s="236">
        <v>0</v>
      </c>
      <c r="S106" s="236">
        <v>7118</v>
      </c>
      <c r="T106" s="238">
        <v>0</v>
      </c>
      <c r="U106" s="238"/>
      <c r="V106" s="343">
        <f t="shared" si="8"/>
        <v>7118</v>
      </c>
    </row>
    <row r="107" spans="1:22" ht="14.25" customHeight="1">
      <c r="A107" s="482"/>
      <c r="B107" s="388" t="s">
        <v>179</v>
      </c>
      <c r="C107" s="390"/>
      <c r="D107" s="390" t="s">
        <v>180</v>
      </c>
      <c r="E107" s="381"/>
      <c r="F107" s="382"/>
      <c r="G107" s="383"/>
      <c r="H107" s="384"/>
      <c r="I107" s="385"/>
      <c r="J107" s="386"/>
      <c r="K107" s="386"/>
      <c r="L107" s="386"/>
      <c r="M107" s="386"/>
      <c r="N107" s="386"/>
      <c r="O107" s="386"/>
      <c r="P107" s="386"/>
      <c r="Q107" s="386"/>
      <c r="R107" s="386"/>
      <c r="S107" s="386">
        <f>S108</f>
        <v>290000</v>
      </c>
      <c r="T107" s="386">
        <f>T108</f>
        <v>0</v>
      </c>
      <c r="U107" s="386">
        <f>U108</f>
        <v>0</v>
      </c>
      <c r="V107" s="387">
        <f t="shared" si="8"/>
        <v>290000</v>
      </c>
    </row>
    <row r="108" spans="1:22" ht="33" customHeight="1">
      <c r="A108" s="116"/>
      <c r="B108" s="119" t="s">
        <v>743</v>
      </c>
      <c r="C108" s="14"/>
      <c r="D108" s="14"/>
      <c r="E108" s="345" t="s">
        <v>178</v>
      </c>
      <c r="F108" s="338"/>
      <c r="G108" s="339"/>
      <c r="H108" s="340"/>
      <c r="I108" s="341"/>
      <c r="J108" s="236"/>
      <c r="K108" s="236"/>
      <c r="L108" s="236"/>
      <c r="M108" s="236"/>
      <c r="N108" s="236"/>
      <c r="O108" s="236"/>
      <c r="P108" s="236"/>
      <c r="Q108" s="236"/>
      <c r="R108" s="236"/>
      <c r="S108" s="236">
        <v>290000</v>
      </c>
      <c r="T108" s="238">
        <v>0</v>
      </c>
      <c r="U108" s="238"/>
      <c r="V108" s="343">
        <f t="shared" si="8"/>
        <v>290000</v>
      </c>
    </row>
    <row r="109" spans="1:22" ht="21.75" customHeight="1">
      <c r="A109" s="266" t="s">
        <v>177</v>
      </c>
      <c r="B109" s="251" t="s">
        <v>624</v>
      </c>
      <c r="C109" s="246">
        <v>803</v>
      </c>
      <c r="D109" s="258"/>
      <c r="E109" s="369"/>
      <c r="F109" s="356"/>
      <c r="G109" s="357"/>
      <c r="H109" s="348"/>
      <c r="I109" s="358"/>
      <c r="J109" s="337"/>
      <c r="K109" s="337"/>
      <c r="L109" s="337"/>
      <c r="M109" s="337"/>
      <c r="N109" s="337"/>
      <c r="O109" s="337"/>
      <c r="P109" s="337" t="e">
        <f>#REF!</f>
        <v>#REF!</v>
      </c>
      <c r="Q109" s="337" t="e">
        <f>#REF!</f>
        <v>#REF!</v>
      </c>
      <c r="R109" s="337" t="e">
        <f>#REF!</f>
        <v>#REF!</v>
      </c>
      <c r="S109" s="337">
        <f>S110</f>
        <v>85101</v>
      </c>
      <c r="T109" s="337">
        <f>T110</f>
        <v>0</v>
      </c>
      <c r="U109" s="337">
        <f>U110</f>
        <v>0</v>
      </c>
      <c r="V109" s="370">
        <f aca="true" t="shared" si="19" ref="V109:V151">S109+T109-U109</f>
        <v>85101</v>
      </c>
    </row>
    <row r="110" spans="1:22" s="275" customFormat="1" ht="21.75" customHeight="1">
      <c r="A110" s="480" t="s">
        <v>713</v>
      </c>
      <c r="B110" s="388" t="s">
        <v>95</v>
      </c>
      <c r="C110" s="396"/>
      <c r="D110" s="396">
        <v>80309</v>
      </c>
      <c r="E110" s="393"/>
      <c r="F110" s="382"/>
      <c r="G110" s="383"/>
      <c r="H110" s="384"/>
      <c r="I110" s="385"/>
      <c r="J110" s="386"/>
      <c r="K110" s="386"/>
      <c r="L110" s="386"/>
      <c r="M110" s="386"/>
      <c r="N110" s="386"/>
      <c r="O110" s="386"/>
      <c r="P110" s="386"/>
      <c r="Q110" s="386"/>
      <c r="R110" s="386"/>
      <c r="S110" s="386">
        <f>S111+S112+S113</f>
        <v>85101</v>
      </c>
      <c r="T110" s="386">
        <f>T111+T112+T113</f>
        <v>0</v>
      </c>
      <c r="U110" s="386">
        <f>U111+U112+U113</f>
        <v>0</v>
      </c>
      <c r="V110" s="387">
        <f t="shared" si="19"/>
        <v>85101</v>
      </c>
    </row>
    <row r="111" spans="1:22" s="275" customFormat="1" ht="21.75" customHeight="1">
      <c r="A111" s="272"/>
      <c r="B111" s="316" t="s">
        <v>715</v>
      </c>
      <c r="C111" s="274"/>
      <c r="D111" s="274"/>
      <c r="E111" s="378" t="s">
        <v>122</v>
      </c>
      <c r="F111" s="374"/>
      <c r="G111" s="375"/>
      <c r="H111" s="376"/>
      <c r="I111" s="377"/>
      <c r="J111" s="365"/>
      <c r="K111" s="365"/>
      <c r="L111" s="365"/>
      <c r="M111" s="365"/>
      <c r="N111" s="365"/>
      <c r="O111" s="365"/>
      <c r="P111" s="365"/>
      <c r="Q111" s="365"/>
      <c r="R111" s="365"/>
      <c r="S111" s="365">
        <v>40</v>
      </c>
      <c r="T111" s="366">
        <v>0</v>
      </c>
      <c r="U111" s="366"/>
      <c r="V111" s="343">
        <f t="shared" si="19"/>
        <v>40</v>
      </c>
    </row>
    <row r="112" spans="1:22" ht="47.25" customHeight="1">
      <c r="A112" s="267"/>
      <c r="B112" s="119" t="s">
        <v>64</v>
      </c>
      <c r="C112" s="18"/>
      <c r="D112" s="18"/>
      <c r="E112" s="342">
        <v>2888</v>
      </c>
      <c r="F112" s="338"/>
      <c r="G112" s="339"/>
      <c r="H112" s="340"/>
      <c r="I112" s="341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>
        <v>63795</v>
      </c>
      <c r="T112" s="238">
        <v>0</v>
      </c>
      <c r="U112" s="238"/>
      <c r="V112" s="343">
        <f t="shared" si="19"/>
        <v>63795</v>
      </c>
    </row>
    <row r="113" spans="1:22" ht="44.25" customHeight="1">
      <c r="A113" s="267"/>
      <c r="B113" s="119" t="s">
        <v>64</v>
      </c>
      <c r="C113" s="18"/>
      <c r="D113" s="18"/>
      <c r="E113" s="342">
        <v>2889</v>
      </c>
      <c r="F113" s="338"/>
      <c r="G113" s="339"/>
      <c r="H113" s="340"/>
      <c r="I113" s="341"/>
      <c r="J113" s="236"/>
      <c r="K113" s="236"/>
      <c r="L113" s="236"/>
      <c r="M113" s="236"/>
      <c r="N113" s="236"/>
      <c r="O113" s="236"/>
      <c r="P113" s="236"/>
      <c r="Q113" s="236"/>
      <c r="R113" s="236"/>
      <c r="S113" s="236">
        <v>21266</v>
      </c>
      <c r="T113" s="238">
        <v>0</v>
      </c>
      <c r="U113" s="238"/>
      <c r="V113" s="343">
        <f t="shared" si="19"/>
        <v>21266</v>
      </c>
    </row>
    <row r="114" spans="1:22" ht="15" customHeight="1">
      <c r="A114" s="266" t="s">
        <v>693</v>
      </c>
      <c r="B114" s="251" t="s">
        <v>7</v>
      </c>
      <c r="C114" s="252" t="s">
        <v>442</v>
      </c>
      <c r="D114" s="252"/>
      <c r="E114" s="347"/>
      <c r="F114" s="356"/>
      <c r="G114" s="357"/>
      <c r="H114" s="348"/>
      <c r="I114" s="358"/>
      <c r="J114" s="337"/>
      <c r="K114" s="337"/>
      <c r="L114" s="337"/>
      <c r="M114" s="337"/>
      <c r="N114" s="337"/>
      <c r="O114" s="337"/>
      <c r="P114" s="337">
        <f>P115</f>
        <v>8070</v>
      </c>
      <c r="Q114" s="337">
        <f>Q115</f>
        <v>0</v>
      </c>
      <c r="R114" s="337">
        <f>R115</f>
        <v>0</v>
      </c>
      <c r="S114" s="337">
        <f>S115+S121</f>
        <v>3224476</v>
      </c>
      <c r="T114" s="337">
        <f>T115+T121</f>
        <v>0</v>
      </c>
      <c r="U114" s="337">
        <f>U115+U121</f>
        <v>0</v>
      </c>
      <c r="V114" s="370">
        <f t="shared" si="19"/>
        <v>3224476</v>
      </c>
    </row>
    <row r="115" spans="1:22" s="83" customFormat="1" ht="16.5" customHeight="1">
      <c r="A115" s="480" t="s">
        <v>713</v>
      </c>
      <c r="B115" s="388" t="s">
        <v>445</v>
      </c>
      <c r="C115" s="380"/>
      <c r="D115" s="380" t="s">
        <v>444</v>
      </c>
      <c r="E115" s="381"/>
      <c r="F115" s="382"/>
      <c r="G115" s="383"/>
      <c r="H115" s="384"/>
      <c r="I115" s="385"/>
      <c r="J115" s="386"/>
      <c r="K115" s="386"/>
      <c r="L115" s="386"/>
      <c r="M115" s="386"/>
      <c r="N115" s="386"/>
      <c r="O115" s="386"/>
      <c r="P115" s="386">
        <f>P117</f>
        <v>8070</v>
      </c>
      <c r="Q115" s="386">
        <f>Q117</f>
        <v>0</v>
      </c>
      <c r="R115" s="386">
        <f>R117</f>
        <v>0</v>
      </c>
      <c r="S115" s="386">
        <f>S116+S117+S118+S119+S120</f>
        <v>2676476</v>
      </c>
      <c r="T115" s="386">
        <f>T116+T117+T118+T119+T120</f>
        <v>0</v>
      </c>
      <c r="U115" s="386">
        <f>U116+U117+U118+U119+U120</f>
        <v>0</v>
      </c>
      <c r="V115" s="387">
        <f t="shared" si="19"/>
        <v>2676476</v>
      </c>
    </row>
    <row r="116" spans="1:22" ht="25.5" customHeight="1">
      <c r="A116" s="268"/>
      <c r="B116" s="119" t="s">
        <v>618</v>
      </c>
      <c r="C116" s="14"/>
      <c r="D116" s="23"/>
      <c r="E116" s="345" t="s">
        <v>619</v>
      </c>
      <c r="F116" s="338"/>
      <c r="G116" s="339"/>
      <c r="H116" s="340"/>
      <c r="I116" s="341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>
        <v>60006</v>
      </c>
      <c r="T116" s="238"/>
      <c r="U116" s="238"/>
      <c r="V116" s="343">
        <f t="shared" si="19"/>
        <v>60006</v>
      </c>
    </row>
    <row r="117" spans="1:22" ht="20.25" customHeight="1">
      <c r="A117" s="116"/>
      <c r="B117" s="119" t="s">
        <v>506</v>
      </c>
      <c r="C117" s="14"/>
      <c r="D117" s="14"/>
      <c r="E117" s="345" t="s">
        <v>124</v>
      </c>
      <c r="F117" s="338"/>
      <c r="G117" s="339"/>
      <c r="H117" s="340"/>
      <c r="I117" s="341"/>
      <c r="J117" s="236"/>
      <c r="K117" s="236"/>
      <c r="L117" s="236"/>
      <c r="M117" s="236"/>
      <c r="N117" s="236"/>
      <c r="O117" s="236"/>
      <c r="P117" s="236">
        <v>8070</v>
      </c>
      <c r="Q117" s="236">
        <v>0</v>
      </c>
      <c r="R117" s="236">
        <v>0</v>
      </c>
      <c r="S117" s="236">
        <v>54120</v>
      </c>
      <c r="T117" s="238"/>
      <c r="U117" s="238"/>
      <c r="V117" s="343">
        <f t="shared" si="19"/>
        <v>54120</v>
      </c>
    </row>
    <row r="118" spans="1:22" ht="24" customHeight="1">
      <c r="A118" s="267"/>
      <c r="B118" s="119" t="s">
        <v>172</v>
      </c>
      <c r="C118" s="27"/>
      <c r="D118" s="27"/>
      <c r="E118" s="345" t="s">
        <v>621</v>
      </c>
      <c r="F118" s="236"/>
      <c r="G118" s="236"/>
      <c r="H118" s="340"/>
      <c r="I118" s="340"/>
      <c r="J118" s="236"/>
      <c r="K118" s="236"/>
      <c r="L118" s="236"/>
      <c r="M118" s="236"/>
      <c r="N118" s="236"/>
      <c r="O118" s="236"/>
      <c r="P118" s="346"/>
      <c r="Q118" s="346"/>
      <c r="R118" s="346"/>
      <c r="S118" s="346">
        <v>1801762</v>
      </c>
      <c r="T118" s="344"/>
      <c r="U118" s="344"/>
      <c r="V118" s="343">
        <f t="shared" si="19"/>
        <v>1801762</v>
      </c>
    </row>
    <row r="119" spans="1:22" ht="21.75" customHeight="1">
      <c r="A119" s="267"/>
      <c r="B119" s="119" t="s">
        <v>172</v>
      </c>
      <c r="C119" s="27"/>
      <c r="D119" s="27"/>
      <c r="E119" s="345" t="s">
        <v>112</v>
      </c>
      <c r="F119" s="236"/>
      <c r="G119" s="236"/>
      <c r="H119" s="340"/>
      <c r="I119" s="340"/>
      <c r="J119" s="236"/>
      <c r="K119" s="236"/>
      <c r="L119" s="236"/>
      <c r="M119" s="236"/>
      <c r="N119" s="236"/>
      <c r="O119" s="236"/>
      <c r="P119" s="346"/>
      <c r="Q119" s="346"/>
      <c r="R119" s="346"/>
      <c r="S119" s="346">
        <v>349000</v>
      </c>
      <c r="T119" s="344"/>
      <c r="U119" s="344"/>
      <c r="V119" s="343">
        <f t="shared" si="19"/>
        <v>349000</v>
      </c>
    </row>
    <row r="120" spans="1:22" ht="23.25" customHeight="1">
      <c r="A120" s="268"/>
      <c r="B120" s="119" t="s">
        <v>61</v>
      </c>
      <c r="C120" s="29"/>
      <c r="D120" s="46"/>
      <c r="E120" s="342">
        <v>6619</v>
      </c>
      <c r="F120" s="338"/>
      <c r="G120" s="339"/>
      <c r="H120" s="340"/>
      <c r="I120" s="341"/>
      <c r="J120" s="236"/>
      <c r="K120" s="236"/>
      <c r="L120" s="236"/>
      <c r="M120" s="236"/>
      <c r="N120" s="236"/>
      <c r="O120" s="236"/>
      <c r="P120" s="236"/>
      <c r="Q120" s="236"/>
      <c r="R120" s="236"/>
      <c r="S120" s="365">
        <v>411588</v>
      </c>
      <c r="T120" s="366"/>
      <c r="U120" s="366"/>
      <c r="V120" s="343">
        <f t="shared" si="19"/>
        <v>411588</v>
      </c>
    </row>
    <row r="121" spans="1:22" ht="25.5" customHeight="1">
      <c r="A121" s="482" t="s">
        <v>717</v>
      </c>
      <c r="B121" s="395" t="s">
        <v>15</v>
      </c>
      <c r="C121" s="392"/>
      <c r="D121" s="392">
        <v>85156</v>
      </c>
      <c r="E121" s="386"/>
      <c r="F121" s="382"/>
      <c r="G121" s="383">
        <v>2010880</v>
      </c>
      <c r="H121" s="384"/>
      <c r="I121" s="385"/>
      <c r="J121" s="386"/>
      <c r="K121" s="386">
        <v>0</v>
      </c>
      <c r="L121" s="386">
        <v>0</v>
      </c>
      <c r="M121" s="386">
        <v>567150</v>
      </c>
      <c r="N121" s="386">
        <v>0</v>
      </c>
      <c r="O121" s="386">
        <v>70165</v>
      </c>
      <c r="P121" s="386">
        <v>363000</v>
      </c>
      <c r="Q121" s="386">
        <v>0</v>
      </c>
      <c r="R121" s="386">
        <v>0</v>
      </c>
      <c r="S121" s="386">
        <f>S122</f>
        <v>548000</v>
      </c>
      <c r="T121" s="386">
        <f>T122</f>
        <v>0</v>
      </c>
      <c r="U121" s="386">
        <f>U122</f>
        <v>0</v>
      </c>
      <c r="V121" s="387">
        <f t="shared" si="19"/>
        <v>548000</v>
      </c>
    </row>
    <row r="122" spans="1:22" ht="25.5" customHeight="1">
      <c r="A122" s="116"/>
      <c r="B122" s="119" t="s">
        <v>96</v>
      </c>
      <c r="C122" s="29"/>
      <c r="D122" s="29"/>
      <c r="E122" s="342">
        <v>2110</v>
      </c>
      <c r="F122" s="338"/>
      <c r="G122" s="339"/>
      <c r="H122" s="340"/>
      <c r="I122" s="341"/>
      <c r="J122" s="236"/>
      <c r="K122" s="236"/>
      <c r="L122" s="236"/>
      <c r="M122" s="236"/>
      <c r="N122" s="236"/>
      <c r="O122" s="236"/>
      <c r="P122" s="236"/>
      <c r="Q122" s="236"/>
      <c r="R122" s="236"/>
      <c r="S122" s="236">
        <v>548000</v>
      </c>
      <c r="T122" s="238">
        <v>0</v>
      </c>
      <c r="U122" s="238"/>
      <c r="V122" s="343">
        <f t="shared" si="19"/>
        <v>548000</v>
      </c>
    </row>
    <row r="123" spans="1:22" ht="29.25" customHeight="1">
      <c r="A123" s="266" t="s">
        <v>97</v>
      </c>
      <c r="B123" s="251" t="s">
        <v>376</v>
      </c>
      <c r="C123" s="246">
        <v>852</v>
      </c>
      <c r="D123" s="246"/>
      <c r="E123" s="369"/>
      <c r="F123" s="356"/>
      <c r="G123" s="357"/>
      <c r="H123" s="348"/>
      <c r="I123" s="358"/>
      <c r="J123" s="337"/>
      <c r="K123" s="337"/>
      <c r="L123" s="337"/>
      <c r="M123" s="337"/>
      <c r="N123" s="337"/>
      <c r="O123" s="337"/>
      <c r="P123" s="337"/>
      <c r="Q123" s="337"/>
      <c r="R123" s="337"/>
      <c r="S123" s="337">
        <f>S124+S130+S135+S138+S141</f>
        <v>1142575</v>
      </c>
      <c r="T123" s="337">
        <f>T124+T130+T135+T138+T141</f>
        <v>75000</v>
      </c>
      <c r="U123" s="337">
        <f>U124+U130+U135+U138+U141</f>
        <v>0</v>
      </c>
      <c r="V123" s="468">
        <f t="shared" si="19"/>
        <v>1217575</v>
      </c>
    </row>
    <row r="124" spans="1:22" s="83" customFormat="1" ht="26.25" customHeight="1">
      <c r="A124" s="480" t="s">
        <v>713</v>
      </c>
      <c r="B124" s="388" t="s">
        <v>585</v>
      </c>
      <c r="C124" s="380"/>
      <c r="D124" s="380" t="s">
        <v>377</v>
      </c>
      <c r="E124" s="381"/>
      <c r="F124" s="382" t="e">
        <f>#REF!+F126+#REF!+#REF!+F127</f>
        <v>#REF!</v>
      </c>
      <c r="G124" s="383" t="e">
        <f>#REF!+G126+#REF!+#REF!+G127+#REF!</f>
        <v>#REF!</v>
      </c>
      <c r="H124" s="384" t="e">
        <f>IF(F124&gt;0,G124/F124*100,"")</f>
        <v>#REF!</v>
      </c>
      <c r="I124" s="385" t="e">
        <f>F124/F183</f>
        <v>#REF!</v>
      </c>
      <c r="J124" s="386"/>
      <c r="K124" s="386" t="e">
        <f>#REF!+K126+#REF!+#REF!+K127+#REF!</f>
        <v>#REF!</v>
      </c>
      <c r="L124" s="386" t="e">
        <f>#REF!+L126+#REF!+#REF!+L127++#REF!</f>
        <v>#REF!</v>
      </c>
      <c r="M124" s="386" t="e">
        <f>#REF!+M126+#REF!+#REF!+M127+#REF!</f>
        <v>#REF!</v>
      </c>
      <c r="N124" s="386" t="e">
        <f>#REF!+N126+#REF!+#REF!+N127+#REF!</f>
        <v>#REF!</v>
      </c>
      <c r="O124" s="386" t="e">
        <f>#REF!+O126+#REF!+#REF!+O127+#REF!</f>
        <v>#REF!</v>
      </c>
      <c r="P124" s="389">
        <f>P126+P127</f>
        <v>6850</v>
      </c>
      <c r="Q124" s="389">
        <f>Q126+Q127</f>
        <v>0</v>
      </c>
      <c r="R124" s="389">
        <f>R126+R127</f>
        <v>0</v>
      </c>
      <c r="S124" s="389">
        <f>S125+S126+S127+S128+S129</f>
        <v>209604</v>
      </c>
      <c r="T124" s="389">
        <f>T125+T126+T127+T128+T129</f>
        <v>0</v>
      </c>
      <c r="U124" s="389">
        <f>U125+U126+U127+U128+U129</f>
        <v>0</v>
      </c>
      <c r="V124" s="389">
        <f>V125+V126+V127+V128+V129</f>
        <v>209604</v>
      </c>
    </row>
    <row r="125" spans="1:22" ht="21.75" customHeight="1">
      <c r="A125" s="268"/>
      <c r="B125" s="119" t="s">
        <v>536</v>
      </c>
      <c r="C125" s="23"/>
      <c r="D125" s="23"/>
      <c r="E125" s="345" t="s">
        <v>537</v>
      </c>
      <c r="F125" s="338"/>
      <c r="G125" s="339"/>
      <c r="H125" s="340"/>
      <c r="I125" s="341"/>
      <c r="J125" s="236"/>
      <c r="K125" s="236"/>
      <c r="L125" s="236"/>
      <c r="M125" s="236"/>
      <c r="N125" s="236"/>
      <c r="O125" s="236"/>
      <c r="P125" s="346"/>
      <c r="Q125" s="346"/>
      <c r="R125" s="346"/>
      <c r="S125" s="346">
        <v>300</v>
      </c>
      <c r="T125" s="344"/>
      <c r="U125" s="344"/>
      <c r="V125" s="343">
        <f t="shared" si="19"/>
        <v>300</v>
      </c>
    </row>
    <row r="126" spans="1:22" ht="16.5" customHeight="1">
      <c r="A126" s="268"/>
      <c r="B126" s="119" t="s">
        <v>230</v>
      </c>
      <c r="C126" s="14"/>
      <c r="D126" s="14"/>
      <c r="E126" s="345" t="s">
        <v>124</v>
      </c>
      <c r="F126" s="338">
        <v>2740</v>
      </c>
      <c r="G126" s="339">
        <v>4713</v>
      </c>
      <c r="H126" s="340">
        <f>IF(F126&gt;0,G126/F126*100,"")</f>
        <v>172.007299270073</v>
      </c>
      <c r="I126" s="341" t="e">
        <f>F126/F183</f>
        <v>#REF!</v>
      </c>
      <c r="J126" s="236"/>
      <c r="K126" s="236">
        <v>0</v>
      </c>
      <c r="L126" s="236">
        <v>0</v>
      </c>
      <c r="M126" s="236">
        <v>6500</v>
      </c>
      <c r="N126" s="236">
        <v>0</v>
      </c>
      <c r="O126" s="236">
        <v>0</v>
      </c>
      <c r="P126" s="236">
        <v>6500</v>
      </c>
      <c r="Q126" s="236">
        <v>0</v>
      </c>
      <c r="R126" s="236">
        <v>0</v>
      </c>
      <c r="S126" s="236">
        <v>0</v>
      </c>
      <c r="T126" s="238"/>
      <c r="U126" s="238"/>
      <c r="V126" s="343">
        <f t="shared" si="19"/>
        <v>0</v>
      </c>
    </row>
    <row r="127" spans="1:22" ht="18" customHeight="1">
      <c r="A127" s="268"/>
      <c r="B127" s="120" t="s">
        <v>715</v>
      </c>
      <c r="C127" s="14"/>
      <c r="D127" s="14"/>
      <c r="E127" s="345" t="s">
        <v>122</v>
      </c>
      <c r="F127" s="338">
        <v>4000</v>
      </c>
      <c r="G127" s="339">
        <v>6000</v>
      </c>
      <c r="H127" s="340">
        <f>IF(F127&gt;0,G127/F127*100,"")</f>
        <v>150</v>
      </c>
      <c r="I127" s="341" t="e">
        <f>F127/F183</f>
        <v>#REF!</v>
      </c>
      <c r="J127" s="236"/>
      <c r="K127" s="236">
        <v>0</v>
      </c>
      <c r="L127" s="236">
        <v>0</v>
      </c>
      <c r="M127" s="236">
        <v>2500</v>
      </c>
      <c r="N127" s="236">
        <v>0</v>
      </c>
      <c r="O127" s="236">
        <v>0</v>
      </c>
      <c r="P127" s="236">
        <v>350</v>
      </c>
      <c r="Q127" s="236">
        <v>0</v>
      </c>
      <c r="R127" s="236">
        <v>0</v>
      </c>
      <c r="S127" s="236">
        <v>200</v>
      </c>
      <c r="T127" s="238"/>
      <c r="U127" s="238"/>
      <c r="V127" s="343">
        <f t="shared" si="19"/>
        <v>200</v>
      </c>
    </row>
    <row r="128" spans="1:22" ht="16.5" customHeight="1">
      <c r="A128" s="268"/>
      <c r="B128" s="119" t="s">
        <v>229</v>
      </c>
      <c r="C128" s="14"/>
      <c r="D128" s="14"/>
      <c r="E128" s="345" t="s">
        <v>326</v>
      </c>
      <c r="F128" s="338"/>
      <c r="G128" s="339"/>
      <c r="H128" s="340"/>
      <c r="I128" s="341"/>
      <c r="J128" s="236"/>
      <c r="K128" s="236"/>
      <c r="L128" s="236"/>
      <c r="M128" s="236"/>
      <c r="N128" s="236"/>
      <c r="O128" s="236"/>
      <c r="P128" s="236"/>
      <c r="Q128" s="236"/>
      <c r="R128" s="236"/>
      <c r="S128" s="236">
        <v>3000</v>
      </c>
      <c r="T128" s="238">
        <v>0</v>
      </c>
      <c r="U128" s="238"/>
      <c r="V128" s="343">
        <f t="shared" si="19"/>
        <v>3000</v>
      </c>
    </row>
    <row r="129" spans="1:22" s="32" customFormat="1" ht="22.5" customHeight="1">
      <c r="A129" s="268"/>
      <c r="B129" s="119" t="s">
        <v>98</v>
      </c>
      <c r="C129" s="46"/>
      <c r="D129" s="18"/>
      <c r="E129" s="342">
        <v>2320</v>
      </c>
      <c r="F129" s="338"/>
      <c r="G129" s="339"/>
      <c r="H129" s="340"/>
      <c r="I129" s="341"/>
      <c r="J129" s="236"/>
      <c r="K129" s="236"/>
      <c r="L129" s="236"/>
      <c r="M129" s="236"/>
      <c r="N129" s="236"/>
      <c r="O129" s="236"/>
      <c r="P129" s="236"/>
      <c r="Q129" s="236"/>
      <c r="R129" s="236"/>
      <c r="S129" s="236">
        <v>206104</v>
      </c>
      <c r="T129" s="238"/>
      <c r="U129" s="238">
        <v>0</v>
      </c>
      <c r="V129" s="343">
        <f t="shared" si="19"/>
        <v>206104</v>
      </c>
    </row>
    <row r="130" spans="1:22" s="83" customFormat="1" ht="15.75" customHeight="1">
      <c r="A130" s="480" t="s">
        <v>717</v>
      </c>
      <c r="B130" s="379" t="s">
        <v>458</v>
      </c>
      <c r="C130" s="380"/>
      <c r="D130" s="380" t="s">
        <v>378</v>
      </c>
      <c r="E130" s="381"/>
      <c r="F130" s="382">
        <f>F131+F132</f>
        <v>159900</v>
      </c>
      <c r="G130" s="383">
        <f>G131+G132</f>
        <v>170000</v>
      </c>
      <c r="H130" s="384">
        <f>IF(F130&gt;0,G130/F130*100,"")</f>
        <v>106.31644777986241</v>
      </c>
      <c r="I130" s="385" t="e">
        <f>F130/F183</f>
        <v>#REF!</v>
      </c>
      <c r="J130" s="386"/>
      <c r="K130" s="386">
        <f>K131+K132</f>
        <v>6500</v>
      </c>
      <c r="L130" s="386">
        <f>L131+L132</f>
        <v>500</v>
      </c>
      <c r="M130" s="386">
        <f>M131+M132</f>
        <v>180500</v>
      </c>
      <c r="N130" s="386">
        <f>N131+N132</f>
        <v>0</v>
      </c>
      <c r="O130" s="386">
        <f>O131+O132</f>
        <v>0</v>
      </c>
      <c r="P130" s="389">
        <f>P131+P132+P133</f>
        <v>182200</v>
      </c>
      <c r="Q130" s="389">
        <f>Q131+Q132+Q133</f>
        <v>0</v>
      </c>
      <c r="R130" s="389">
        <f>R131+R132+R133</f>
        <v>0</v>
      </c>
      <c r="S130" s="389">
        <f>S131+S132+S133+S134</f>
        <v>864536</v>
      </c>
      <c r="T130" s="389">
        <f>T131+T132+T133+T134</f>
        <v>0</v>
      </c>
      <c r="U130" s="389">
        <f>U131+U132+U133+U134</f>
        <v>0</v>
      </c>
      <c r="V130" s="387">
        <f t="shared" si="19"/>
        <v>864536</v>
      </c>
    </row>
    <row r="131" spans="1:22" ht="13.5" customHeight="1">
      <c r="A131" s="116"/>
      <c r="B131" s="120" t="s">
        <v>722</v>
      </c>
      <c r="C131" s="14"/>
      <c r="D131" s="14"/>
      <c r="E131" s="345" t="s">
        <v>125</v>
      </c>
      <c r="F131" s="338">
        <v>159000</v>
      </c>
      <c r="G131" s="339">
        <v>169000</v>
      </c>
      <c r="H131" s="340">
        <f>IF(F131&gt;0,G131/F131*100,"")</f>
        <v>106.28930817610063</v>
      </c>
      <c r="I131" s="341" t="e">
        <f>F131/F183</f>
        <v>#REF!</v>
      </c>
      <c r="J131" s="236"/>
      <c r="K131" s="236">
        <v>6500</v>
      </c>
      <c r="L131" s="236">
        <v>0</v>
      </c>
      <c r="M131" s="236">
        <v>180000</v>
      </c>
      <c r="N131" s="236">
        <v>0</v>
      </c>
      <c r="O131" s="236">
        <v>0</v>
      </c>
      <c r="P131" s="236">
        <v>182000</v>
      </c>
      <c r="Q131" s="236">
        <v>0</v>
      </c>
      <c r="R131" s="236">
        <v>0</v>
      </c>
      <c r="S131" s="236">
        <v>320498</v>
      </c>
      <c r="T131" s="238">
        <v>0</v>
      </c>
      <c r="U131" s="238"/>
      <c r="V131" s="343">
        <f t="shared" si="19"/>
        <v>320498</v>
      </c>
    </row>
    <row r="132" spans="1:22" ht="16.5" customHeight="1">
      <c r="A132" s="116"/>
      <c r="B132" s="119" t="s">
        <v>715</v>
      </c>
      <c r="C132" s="14"/>
      <c r="D132" s="14"/>
      <c r="E132" s="345" t="s">
        <v>122</v>
      </c>
      <c r="F132" s="338">
        <v>900</v>
      </c>
      <c r="G132" s="339">
        <v>1000</v>
      </c>
      <c r="H132" s="340">
        <f>IF(F132&gt;0,G132/F132*100,"")</f>
        <v>111.11111111111111</v>
      </c>
      <c r="I132" s="340" t="e">
        <f>F132/F183</f>
        <v>#REF!</v>
      </c>
      <c r="J132" s="236"/>
      <c r="K132" s="236">
        <v>0</v>
      </c>
      <c r="L132" s="236">
        <v>500</v>
      </c>
      <c r="M132" s="236">
        <v>500</v>
      </c>
      <c r="N132" s="236">
        <v>0</v>
      </c>
      <c r="O132" s="236">
        <v>0</v>
      </c>
      <c r="P132" s="236">
        <v>50</v>
      </c>
      <c r="Q132" s="236">
        <v>0</v>
      </c>
      <c r="R132" s="236">
        <v>0</v>
      </c>
      <c r="S132" s="236">
        <v>500</v>
      </c>
      <c r="T132" s="238"/>
      <c r="U132" s="238"/>
      <c r="V132" s="343">
        <f t="shared" si="19"/>
        <v>500</v>
      </c>
    </row>
    <row r="133" spans="1:22" ht="16.5" customHeight="1">
      <c r="A133" s="116"/>
      <c r="B133" s="119" t="s">
        <v>739</v>
      </c>
      <c r="C133" s="14"/>
      <c r="D133" s="14"/>
      <c r="E133" s="345" t="s">
        <v>126</v>
      </c>
      <c r="F133" s="338"/>
      <c r="G133" s="339"/>
      <c r="H133" s="340"/>
      <c r="I133" s="340"/>
      <c r="J133" s="236"/>
      <c r="K133" s="236"/>
      <c r="L133" s="236"/>
      <c r="M133" s="236"/>
      <c r="N133" s="236"/>
      <c r="O133" s="236"/>
      <c r="P133" s="236">
        <v>150</v>
      </c>
      <c r="Q133" s="236">
        <v>0</v>
      </c>
      <c r="R133" s="236">
        <v>0</v>
      </c>
      <c r="S133" s="236">
        <v>0</v>
      </c>
      <c r="T133" s="238"/>
      <c r="U133" s="238"/>
      <c r="V133" s="343">
        <f t="shared" si="19"/>
        <v>0</v>
      </c>
    </row>
    <row r="134" spans="1:22" ht="17.25" customHeight="1">
      <c r="A134" s="116"/>
      <c r="B134" s="119" t="s">
        <v>228</v>
      </c>
      <c r="C134" s="29"/>
      <c r="D134" s="46"/>
      <c r="E134" s="342">
        <v>2130</v>
      </c>
      <c r="F134" s="359" t="e">
        <f>#REF!</f>
        <v>#REF!</v>
      </c>
      <c r="G134" s="360" t="e">
        <f>#REF!</f>
        <v>#REF!</v>
      </c>
      <c r="H134" s="361" t="e">
        <f>IF(F134&gt;0,G134/F134*100,"")</f>
        <v>#REF!</v>
      </c>
      <c r="I134" s="361" t="e">
        <f>F134/F183</f>
        <v>#REF!</v>
      </c>
      <c r="J134" s="241"/>
      <c r="K134" s="241" t="e">
        <f>#REF!</f>
        <v>#REF!</v>
      </c>
      <c r="L134" s="241" t="e">
        <f>#REF!</f>
        <v>#REF!</v>
      </c>
      <c r="M134" s="241" t="e">
        <f>#REF!</f>
        <v>#REF!</v>
      </c>
      <c r="N134" s="241" t="e">
        <f>#REF!</f>
        <v>#REF!</v>
      </c>
      <c r="O134" s="241" t="e">
        <f>#REF!</f>
        <v>#REF!</v>
      </c>
      <c r="P134" s="363" t="e">
        <f>#REF!</f>
        <v>#REF!</v>
      </c>
      <c r="Q134" s="363" t="e">
        <f>#REF!</f>
        <v>#REF!</v>
      </c>
      <c r="R134" s="363" t="e">
        <f>#REF!</f>
        <v>#REF!</v>
      </c>
      <c r="S134" s="346">
        <v>543538</v>
      </c>
      <c r="T134" s="344">
        <v>0</v>
      </c>
      <c r="U134" s="344">
        <v>0</v>
      </c>
      <c r="V134" s="343">
        <f t="shared" si="19"/>
        <v>543538</v>
      </c>
    </row>
    <row r="135" spans="1:22" s="83" customFormat="1" ht="18" customHeight="1">
      <c r="A135" s="480" t="s">
        <v>6</v>
      </c>
      <c r="B135" s="388" t="s">
        <v>586</v>
      </c>
      <c r="C135" s="380"/>
      <c r="D135" s="380" t="s">
        <v>383</v>
      </c>
      <c r="E135" s="381"/>
      <c r="F135" s="382"/>
      <c r="G135" s="383"/>
      <c r="H135" s="384"/>
      <c r="I135" s="384"/>
      <c r="J135" s="386"/>
      <c r="K135" s="386"/>
      <c r="L135" s="386"/>
      <c r="M135" s="386"/>
      <c r="N135" s="386"/>
      <c r="O135" s="386"/>
      <c r="P135" s="386"/>
      <c r="Q135" s="386"/>
      <c r="R135" s="386"/>
      <c r="S135" s="386">
        <f>S136+S137</f>
        <v>65285</v>
      </c>
      <c r="T135" s="386">
        <f>T136+T137</f>
        <v>0</v>
      </c>
      <c r="U135" s="386">
        <f>U136+U137</f>
        <v>0</v>
      </c>
      <c r="V135" s="387">
        <f t="shared" si="19"/>
        <v>65285</v>
      </c>
    </row>
    <row r="136" spans="1:22" ht="21" customHeight="1">
      <c r="A136" s="116"/>
      <c r="B136" s="119" t="s">
        <v>536</v>
      </c>
      <c r="C136" s="14"/>
      <c r="D136" s="14"/>
      <c r="E136" s="345" t="s">
        <v>537</v>
      </c>
      <c r="F136" s="338"/>
      <c r="G136" s="339"/>
      <c r="H136" s="340"/>
      <c r="I136" s="340"/>
      <c r="J136" s="236"/>
      <c r="K136" s="236"/>
      <c r="L136" s="236"/>
      <c r="M136" s="236"/>
      <c r="N136" s="236"/>
      <c r="O136" s="236"/>
      <c r="P136" s="236"/>
      <c r="Q136" s="236"/>
      <c r="R136" s="236"/>
      <c r="S136" s="236">
        <v>700</v>
      </c>
      <c r="T136" s="238"/>
      <c r="U136" s="238"/>
      <c r="V136" s="343">
        <f t="shared" si="19"/>
        <v>700</v>
      </c>
    </row>
    <row r="137" spans="1:22" ht="22.5" customHeight="1">
      <c r="A137" s="116"/>
      <c r="B137" s="119" t="s">
        <v>98</v>
      </c>
      <c r="C137" s="14"/>
      <c r="D137" s="14"/>
      <c r="E137" s="345" t="s">
        <v>433</v>
      </c>
      <c r="F137" s="236"/>
      <c r="G137" s="236"/>
      <c r="H137" s="340"/>
      <c r="I137" s="340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>
        <v>64585</v>
      </c>
      <c r="T137" s="238">
        <v>0</v>
      </c>
      <c r="U137" s="238"/>
      <c r="V137" s="343">
        <f t="shared" si="19"/>
        <v>64585</v>
      </c>
    </row>
    <row r="138" spans="1:22" s="83" customFormat="1" ht="15.75" customHeight="1">
      <c r="A138" s="480" t="s">
        <v>8</v>
      </c>
      <c r="B138" s="388" t="s">
        <v>620</v>
      </c>
      <c r="C138" s="380"/>
      <c r="D138" s="380" t="s">
        <v>379</v>
      </c>
      <c r="E138" s="381"/>
      <c r="F138" s="386"/>
      <c r="G138" s="386"/>
      <c r="H138" s="384"/>
      <c r="I138" s="384"/>
      <c r="J138" s="386"/>
      <c r="K138" s="386"/>
      <c r="L138" s="386"/>
      <c r="M138" s="386"/>
      <c r="N138" s="386"/>
      <c r="O138" s="386"/>
      <c r="P138" s="386"/>
      <c r="Q138" s="386"/>
      <c r="R138" s="386"/>
      <c r="S138" s="386">
        <f>S139+S140</f>
        <v>3150</v>
      </c>
      <c r="T138" s="386">
        <f>T139+T140</f>
        <v>0</v>
      </c>
      <c r="U138" s="386">
        <f>U139+U140</f>
        <v>0</v>
      </c>
      <c r="V138" s="387">
        <f t="shared" si="19"/>
        <v>3150</v>
      </c>
    </row>
    <row r="139" spans="1:22" ht="19.5" customHeight="1">
      <c r="A139" s="116"/>
      <c r="B139" s="119" t="s">
        <v>715</v>
      </c>
      <c r="C139" s="14"/>
      <c r="D139" s="14"/>
      <c r="E139" s="345" t="s">
        <v>122</v>
      </c>
      <c r="F139" s="236"/>
      <c r="G139" s="236"/>
      <c r="H139" s="340"/>
      <c r="I139" s="340"/>
      <c r="J139" s="236"/>
      <c r="K139" s="236"/>
      <c r="L139" s="236"/>
      <c r="M139" s="236"/>
      <c r="N139" s="236"/>
      <c r="O139" s="236"/>
      <c r="P139" s="236"/>
      <c r="Q139" s="236"/>
      <c r="R139" s="236"/>
      <c r="S139" s="236">
        <v>150</v>
      </c>
      <c r="T139" s="238">
        <v>0</v>
      </c>
      <c r="U139" s="238"/>
      <c r="V139" s="343">
        <f t="shared" si="19"/>
        <v>150</v>
      </c>
    </row>
    <row r="140" spans="1:22" ht="20.25" customHeight="1">
      <c r="A140" s="116"/>
      <c r="B140" s="119" t="s">
        <v>99</v>
      </c>
      <c r="C140" s="14"/>
      <c r="D140" s="14"/>
      <c r="E140" s="345" t="s">
        <v>326</v>
      </c>
      <c r="F140" s="236"/>
      <c r="G140" s="236"/>
      <c r="H140" s="340"/>
      <c r="I140" s="340"/>
      <c r="J140" s="236"/>
      <c r="K140" s="236"/>
      <c r="L140" s="236"/>
      <c r="M140" s="236"/>
      <c r="N140" s="236"/>
      <c r="O140" s="236"/>
      <c r="P140" s="236"/>
      <c r="Q140" s="236"/>
      <c r="R140" s="236"/>
      <c r="S140" s="236">
        <v>3000</v>
      </c>
      <c r="T140" s="238">
        <v>0</v>
      </c>
      <c r="U140" s="238"/>
      <c r="V140" s="343">
        <f t="shared" si="19"/>
        <v>3000</v>
      </c>
    </row>
    <row r="141" spans="1:22" ht="33.75" customHeight="1">
      <c r="A141" s="482" t="s">
        <v>334</v>
      </c>
      <c r="B141" s="467" t="s">
        <v>528</v>
      </c>
      <c r="C141" s="390"/>
      <c r="D141" s="390" t="s">
        <v>527</v>
      </c>
      <c r="E141" s="381"/>
      <c r="F141" s="386"/>
      <c r="G141" s="386"/>
      <c r="H141" s="384"/>
      <c r="I141" s="384"/>
      <c r="J141" s="386"/>
      <c r="K141" s="386"/>
      <c r="L141" s="386"/>
      <c r="M141" s="386"/>
      <c r="N141" s="386"/>
      <c r="O141" s="386"/>
      <c r="P141" s="386"/>
      <c r="Q141" s="386"/>
      <c r="R141" s="386"/>
      <c r="S141" s="386">
        <f>S142</f>
        <v>0</v>
      </c>
      <c r="T141" s="386">
        <f>T142</f>
        <v>75000</v>
      </c>
      <c r="U141" s="386">
        <f>U142</f>
        <v>0</v>
      </c>
      <c r="V141" s="387">
        <f t="shared" si="19"/>
        <v>75000</v>
      </c>
    </row>
    <row r="142" spans="1:22" ht="20.25" customHeight="1">
      <c r="A142" s="116"/>
      <c r="B142" s="119" t="s">
        <v>99</v>
      </c>
      <c r="C142" s="14"/>
      <c r="D142" s="14"/>
      <c r="E142" s="345" t="s">
        <v>326</v>
      </c>
      <c r="F142" s="236"/>
      <c r="G142" s="236"/>
      <c r="H142" s="340"/>
      <c r="I142" s="340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>
        <v>0</v>
      </c>
      <c r="T142" s="238">
        <v>75000</v>
      </c>
      <c r="U142" s="238"/>
      <c r="V142" s="412">
        <f t="shared" si="19"/>
        <v>75000</v>
      </c>
    </row>
    <row r="143" spans="1:22" ht="25.5" customHeight="1">
      <c r="A143" s="266">
        <v>10</v>
      </c>
      <c r="B143" s="251" t="s">
        <v>380</v>
      </c>
      <c r="C143" s="252" t="s">
        <v>451</v>
      </c>
      <c r="D143" s="252"/>
      <c r="E143" s="347"/>
      <c r="F143" s="337"/>
      <c r="G143" s="337"/>
      <c r="H143" s="348"/>
      <c r="I143" s="348"/>
      <c r="J143" s="337"/>
      <c r="K143" s="337"/>
      <c r="L143" s="337"/>
      <c r="M143" s="337"/>
      <c r="N143" s="337"/>
      <c r="O143" s="337"/>
      <c r="P143" s="337"/>
      <c r="Q143" s="337"/>
      <c r="R143" s="337"/>
      <c r="S143" s="337">
        <f>S144+S148+S153</f>
        <v>1172992</v>
      </c>
      <c r="T143" s="337">
        <f>T144+T148+T153</f>
        <v>0</v>
      </c>
      <c r="U143" s="337">
        <f>U144+U148+U153</f>
        <v>35021</v>
      </c>
      <c r="V143" s="370">
        <f t="shared" si="19"/>
        <v>1137971</v>
      </c>
    </row>
    <row r="144" spans="1:22" s="83" customFormat="1" ht="15.75" customHeight="1">
      <c r="A144" s="480" t="s">
        <v>713</v>
      </c>
      <c r="B144" s="388" t="s">
        <v>9</v>
      </c>
      <c r="C144" s="380"/>
      <c r="D144" s="380" t="s">
        <v>464</v>
      </c>
      <c r="E144" s="381"/>
      <c r="F144" s="386">
        <f>F145</f>
        <v>19873</v>
      </c>
      <c r="G144" s="386">
        <f>G145</f>
        <v>20000</v>
      </c>
      <c r="H144" s="384">
        <f>G144/F144*100</f>
        <v>100.63905801841695</v>
      </c>
      <c r="I144" s="384" t="e">
        <f>F144/F190</f>
        <v>#DIV/0!</v>
      </c>
      <c r="J144" s="386"/>
      <c r="K144" s="386">
        <f aca="true" t="shared" si="20" ref="K144:R144">K145</f>
        <v>0</v>
      </c>
      <c r="L144" s="386">
        <f t="shared" si="20"/>
        <v>0</v>
      </c>
      <c r="M144" s="386">
        <f t="shared" si="20"/>
        <v>12412</v>
      </c>
      <c r="N144" s="386">
        <f t="shared" si="20"/>
        <v>0</v>
      </c>
      <c r="O144" s="386">
        <f t="shared" si="20"/>
        <v>0</v>
      </c>
      <c r="P144" s="389">
        <f t="shared" si="20"/>
        <v>12412</v>
      </c>
      <c r="Q144" s="389">
        <f t="shared" si="20"/>
        <v>0</v>
      </c>
      <c r="R144" s="389">
        <f t="shared" si="20"/>
        <v>0</v>
      </c>
      <c r="S144" s="389">
        <f>S145+S146+S147</f>
        <v>656571</v>
      </c>
      <c r="T144" s="389">
        <f>T145+T146+T147</f>
        <v>0</v>
      </c>
      <c r="U144" s="389">
        <f>U145+U146+U147</f>
        <v>0</v>
      </c>
      <c r="V144" s="387">
        <f t="shared" si="19"/>
        <v>656571</v>
      </c>
    </row>
    <row r="145" spans="1:22" ht="17.25" customHeight="1">
      <c r="A145" s="116"/>
      <c r="B145" s="119" t="s">
        <v>739</v>
      </c>
      <c r="C145" s="14"/>
      <c r="D145" s="14"/>
      <c r="E145" s="345" t="s">
        <v>126</v>
      </c>
      <c r="F145" s="236">
        <v>19873</v>
      </c>
      <c r="G145" s="236">
        <v>20000</v>
      </c>
      <c r="H145" s="340">
        <f>G145/F145*100</f>
        <v>100.63905801841695</v>
      </c>
      <c r="I145" s="340" t="e">
        <f>F145/F190</f>
        <v>#DIV/0!</v>
      </c>
      <c r="J145" s="236"/>
      <c r="K145" s="236">
        <v>0</v>
      </c>
      <c r="L145" s="236">
        <v>0</v>
      </c>
      <c r="M145" s="236">
        <v>12412</v>
      </c>
      <c r="N145" s="236">
        <v>0</v>
      </c>
      <c r="O145" s="236">
        <v>0</v>
      </c>
      <c r="P145" s="236">
        <v>12412</v>
      </c>
      <c r="Q145" s="236">
        <v>0</v>
      </c>
      <c r="R145" s="236">
        <v>0</v>
      </c>
      <c r="S145" s="236">
        <v>20491</v>
      </c>
      <c r="T145" s="238"/>
      <c r="U145" s="238"/>
      <c r="V145" s="343">
        <f t="shared" si="19"/>
        <v>20491</v>
      </c>
    </row>
    <row r="146" spans="1:22" ht="23.25" customHeight="1">
      <c r="A146" s="116"/>
      <c r="B146" s="119" t="s">
        <v>626</v>
      </c>
      <c r="C146" s="14"/>
      <c r="D146" s="14"/>
      <c r="E146" s="345" t="s">
        <v>686</v>
      </c>
      <c r="F146" s="236"/>
      <c r="G146" s="236"/>
      <c r="H146" s="340"/>
      <c r="I146" s="340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>
        <v>53974</v>
      </c>
      <c r="T146" s="238">
        <v>0</v>
      </c>
      <c r="U146" s="238">
        <v>0</v>
      </c>
      <c r="V146" s="343">
        <f t="shared" si="19"/>
        <v>53974</v>
      </c>
    </row>
    <row r="147" spans="1:23" ht="21.75" customHeight="1">
      <c r="A147" s="116"/>
      <c r="B147" s="119" t="s">
        <v>625</v>
      </c>
      <c r="C147" s="14"/>
      <c r="D147" s="14"/>
      <c r="E147" s="345" t="s">
        <v>685</v>
      </c>
      <c r="F147" s="236"/>
      <c r="G147" s="236"/>
      <c r="H147" s="340"/>
      <c r="I147" s="340"/>
      <c r="J147" s="236"/>
      <c r="K147" s="236"/>
      <c r="L147" s="236"/>
      <c r="M147" s="236"/>
      <c r="N147" s="236"/>
      <c r="O147" s="236"/>
      <c r="P147" s="236"/>
      <c r="Q147" s="236"/>
      <c r="R147" s="236"/>
      <c r="S147" s="236">
        <v>582106</v>
      </c>
      <c r="T147" s="238">
        <v>0</v>
      </c>
      <c r="U147" s="238">
        <v>0</v>
      </c>
      <c r="V147" s="344">
        <f t="shared" si="19"/>
        <v>582106</v>
      </c>
      <c r="W147" s="35"/>
    </row>
    <row r="148" spans="1:23" s="83" customFormat="1" ht="18" customHeight="1">
      <c r="A148" s="480" t="s">
        <v>717</v>
      </c>
      <c r="B148" s="398" t="s">
        <v>469</v>
      </c>
      <c r="C148" s="380"/>
      <c r="D148" s="380" t="s">
        <v>468</v>
      </c>
      <c r="E148" s="381"/>
      <c r="F148" s="386" t="e">
        <f>#REF!</f>
        <v>#REF!</v>
      </c>
      <c r="G148" s="386" t="e">
        <f>#REF!</f>
        <v>#REF!</v>
      </c>
      <c r="H148" s="384" t="e">
        <f>IF(F148&gt;0,G148/F148*100,"")</f>
        <v>#REF!</v>
      </c>
      <c r="I148" s="384" t="e">
        <f>F148/F190</f>
        <v>#REF!</v>
      </c>
      <c r="J148" s="386"/>
      <c r="K148" s="386" t="e">
        <f>#REF!</f>
        <v>#REF!</v>
      </c>
      <c r="L148" s="386" t="e">
        <f>#REF!</f>
        <v>#REF!</v>
      </c>
      <c r="M148" s="386" t="e">
        <f>#REF!+M151</f>
        <v>#REF!</v>
      </c>
      <c r="N148" s="386" t="e">
        <f>#REF!+N151</f>
        <v>#REF!</v>
      </c>
      <c r="O148" s="386" t="e">
        <f>#REF!+O151</f>
        <v>#REF!</v>
      </c>
      <c r="P148" s="389" t="e">
        <f>#REF!+P151</f>
        <v>#REF!</v>
      </c>
      <c r="Q148" s="389" t="e">
        <f>#REF!+Q151</f>
        <v>#REF!</v>
      </c>
      <c r="R148" s="389" t="e">
        <f>#REF!+R151</f>
        <v>#REF!</v>
      </c>
      <c r="S148" s="389">
        <f>S149+S150+S151+S152</f>
        <v>155010</v>
      </c>
      <c r="T148" s="389">
        <v>0</v>
      </c>
      <c r="U148" s="389">
        <f>U149+U150+U151+U152</f>
        <v>0</v>
      </c>
      <c r="V148" s="394">
        <f t="shared" si="19"/>
        <v>155010</v>
      </c>
      <c r="W148" s="405"/>
    </row>
    <row r="149" spans="1:23" ht="20.25" customHeight="1">
      <c r="A149" s="268"/>
      <c r="B149" s="119" t="s">
        <v>721</v>
      </c>
      <c r="C149" s="23"/>
      <c r="D149" s="27"/>
      <c r="E149" s="345" t="s">
        <v>124</v>
      </c>
      <c r="F149" s="236"/>
      <c r="G149" s="236"/>
      <c r="H149" s="340"/>
      <c r="I149" s="340"/>
      <c r="J149" s="236"/>
      <c r="K149" s="236"/>
      <c r="L149" s="236"/>
      <c r="M149" s="236"/>
      <c r="N149" s="236"/>
      <c r="O149" s="236"/>
      <c r="P149" s="346"/>
      <c r="Q149" s="346"/>
      <c r="R149" s="346"/>
      <c r="S149" s="346">
        <v>0</v>
      </c>
      <c r="T149" s="344"/>
      <c r="U149" s="344"/>
      <c r="V149" s="344">
        <f t="shared" si="19"/>
        <v>0</v>
      </c>
      <c r="W149" s="202"/>
    </row>
    <row r="150" spans="1:23" ht="12" customHeight="1">
      <c r="A150" s="116"/>
      <c r="B150" s="119" t="s">
        <v>715</v>
      </c>
      <c r="C150" s="14"/>
      <c r="D150" s="14"/>
      <c r="E150" s="345" t="s">
        <v>122</v>
      </c>
      <c r="F150" s="236"/>
      <c r="G150" s="236"/>
      <c r="H150" s="340"/>
      <c r="I150" s="340"/>
      <c r="J150" s="236"/>
      <c r="K150" s="236"/>
      <c r="L150" s="236"/>
      <c r="M150" s="236"/>
      <c r="N150" s="236"/>
      <c r="O150" s="236"/>
      <c r="P150" s="236"/>
      <c r="Q150" s="236"/>
      <c r="R150" s="236"/>
      <c r="S150" s="236">
        <v>180</v>
      </c>
      <c r="T150" s="238"/>
      <c r="U150" s="238"/>
      <c r="V150" s="344">
        <f t="shared" si="19"/>
        <v>180</v>
      </c>
      <c r="W150" s="202"/>
    </row>
    <row r="151" spans="1:23" ht="12" customHeight="1">
      <c r="A151" s="116"/>
      <c r="B151" s="119" t="s">
        <v>739</v>
      </c>
      <c r="C151" s="14"/>
      <c r="D151" s="14"/>
      <c r="E151" s="345" t="s">
        <v>126</v>
      </c>
      <c r="F151" s="236"/>
      <c r="G151" s="236"/>
      <c r="H151" s="340"/>
      <c r="I151" s="340"/>
      <c r="J151" s="236"/>
      <c r="K151" s="236"/>
      <c r="L151" s="236"/>
      <c r="M151" s="236">
        <v>30</v>
      </c>
      <c r="N151" s="236">
        <v>0</v>
      </c>
      <c r="O151" s="236">
        <v>0</v>
      </c>
      <c r="P151" s="236">
        <v>30</v>
      </c>
      <c r="Q151" s="236">
        <v>0</v>
      </c>
      <c r="R151" s="236">
        <v>0</v>
      </c>
      <c r="S151" s="236">
        <v>14030</v>
      </c>
      <c r="T151" s="238"/>
      <c r="U151" s="238"/>
      <c r="V151" s="344">
        <f t="shared" si="19"/>
        <v>14030</v>
      </c>
      <c r="W151" s="202"/>
    </row>
    <row r="152" spans="1:23" ht="16.5" customHeight="1">
      <c r="A152" s="268"/>
      <c r="B152" s="119" t="s">
        <v>231</v>
      </c>
      <c r="C152" s="18"/>
      <c r="D152" s="18"/>
      <c r="E152" s="342">
        <v>2690</v>
      </c>
      <c r="F152" s="338"/>
      <c r="G152" s="339">
        <v>71700</v>
      </c>
      <c r="H152" s="340"/>
      <c r="I152" s="341"/>
      <c r="J152" s="236"/>
      <c r="K152" s="236">
        <v>0</v>
      </c>
      <c r="L152" s="236">
        <v>0</v>
      </c>
      <c r="M152" s="236">
        <v>48720</v>
      </c>
      <c r="N152" s="236">
        <v>0</v>
      </c>
      <c r="O152" s="236">
        <v>0</v>
      </c>
      <c r="P152" s="236">
        <v>15000</v>
      </c>
      <c r="Q152" s="236">
        <v>103519</v>
      </c>
      <c r="R152" s="236">
        <v>0</v>
      </c>
      <c r="S152" s="236">
        <v>140800</v>
      </c>
      <c r="T152" s="238"/>
      <c r="U152" s="238"/>
      <c r="V152" s="344">
        <f aca="true" t="shared" si="21" ref="V152:V189">S152+T152-U152</f>
        <v>140800</v>
      </c>
      <c r="W152" s="202"/>
    </row>
    <row r="153" spans="1:23" ht="16.5" customHeight="1">
      <c r="A153" s="481"/>
      <c r="B153" s="388" t="s">
        <v>315</v>
      </c>
      <c r="C153" s="396"/>
      <c r="D153" s="420">
        <v>85395</v>
      </c>
      <c r="E153" s="393"/>
      <c r="F153" s="382"/>
      <c r="G153" s="383"/>
      <c r="H153" s="384"/>
      <c r="I153" s="385"/>
      <c r="J153" s="386"/>
      <c r="K153" s="386"/>
      <c r="L153" s="386"/>
      <c r="M153" s="386"/>
      <c r="N153" s="386"/>
      <c r="O153" s="386"/>
      <c r="P153" s="386"/>
      <c r="Q153" s="386"/>
      <c r="R153" s="386"/>
      <c r="S153" s="386">
        <f>S154+S155</f>
        <v>361411</v>
      </c>
      <c r="T153" s="386">
        <f>T154+T155</f>
        <v>0</v>
      </c>
      <c r="U153" s="386">
        <f>U154+U155</f>
        <v>35021</v>
      </c>
      <c r="V153" s="394">
        <f t="shared" si="21"/>
        <v>326390</v>
      </c>
      <c r="W153" s="202"/>
    </row>
    <row r="154" spans="1:23" ht="31.5" customHeight="1">
      <c r="A154" s="268"/>
      <c r="B154" s="119" t="s">
        <v>44</v>
      </c>
      <c r="C154" s="18"/>
      <c r="D154" s="18"/>
      <c r="E154" s="342">
        <v>2888</v>
      </c>
      <c r="F154" s="338"/>
      <c r="G154" s="339"/>
      <c r="H154" s="340"/>
      <c r="I154" s="341"/>
      <c r="J154" s="236"/>
      <c r="K154" s="236"/>
      <c r="L154" s="236"/>
      <c r="M154" s="236"/>
      <c r="N154" s="236"/>
      <c r="O154" s="236"/>
      <c r="P154" s="236"/>
      <c r="Q154" s="236"/>
      <c r="R154" s="236"/>
      <c r="S154" s="236">
        <v>271058</v>
      </c>
      <c r="T154" s="238">
        <v>0</v>
      </c>
      <c r="U154" s="238">
        <v>26268</v>
      </c>
      <c r="V154" s="483">
        <f t="shared" si="21"/>
        <v>244790</v>
      </c>
      <c r="W154" s="202"/>
    </row>
    <row r="155" spans="1:23" ht="32.25" customHeight="1">
      <c r="A155" s="268"/>
      <c r="B155" s="119" t="s">
        <v>44</v>
      </c>
      <c r="C155" s="18"/>
      <c r="D155" s="18"/>
      <c r="E155" s="342">
        <v>2889</v>
      </c>
      <c r="F155" s="338"/>
      <c r="G155" s="339"/>
      <c r="H155" s="340"/>
      <c r="I155" s="341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>
        <v>90353</v>
      </c>
      <c r="T155" s="238">
        <v>0</v>
      </c>
      <c r="U155" s="238">
        <v>8753</v>
      </c>
      <c r="V155" s="412">
        <f t="shared" si="21"/>
        <v>81600</v>
      </c>
      <c r="W155" s="35"/>
    </row>
    <row r="156" spans="1:22" ht="27.75" customHeight="1">
      <c r="A156" s="266" t="s">
        <v>100</v>
      </c>
      <c r="B156" s="257" t="s">
        <v>10</v>
      </c>
      <c r="C156" s="252" t="s">
        <v>471</v>
      </c>
      <c r="D156" s="254"/>
      <c r="E156" s="367"/>
      <c r="F156" s="336" t="e">
        <f>F157+F163+F166</f>
        <v>#REF!</v>
      </c>
      <c r="G156" s="337" t="e">
        <f>G157+G163+G166</f>
        <v>#REF!</v>
      </c>
      <c r="H156" s="348" t="e">
        <f>IF(F156&gt;0,G156/F156*100,"")</f>
        <v>#REF!</v>
      </c>
      <c r="I156" s="348" t="e">
        <f>F156/F183</f>
        <v>#REF!</v>
      </c>
      <c r="J156" s="337"/>
      <c r="K156" s="337" t="e">
        <f aca="true" t="shared" si="22" ref="K156:R156">K157+K163+K166</f>
        <v>#REF!</v>
      </c>
      <c r="L156" s="337" t="e">
        <f t="shared" si="22"/>
        <v>#REF!</v>
      </c>
      <c r="M156" s="337" t="e">
        <f t="shared" si="22"/>
        <v>#REF!</v>
      </c>
      <c r="N156" s="337" t="e">
        <f t="shared" si="22"/>
        <v>#REF!</v>
      </c>
      <c r="O156" s="337" t="e">
        <f t="shared" si="22"/>
        <v>#REF!</v>
      </c>
      <c r="P156" s="349" t="e">
        <f t="shared" si="22"/>
        <v>#REF!</v>
      </c>
      <c r="Q156" s="349" t="e">
        <f t="shared" si="22"/>
        <v>#REF!</v>
      </c>
      <c r="R156" s="349" t="e">
        <f t="shared" si="22"/>
        <v>#REF!</v>
      </c>
      <c r="S156" s="349">
        <f>S157+S163+S166+S172</f>
        <v>1424562</v>
      </c>
      <c r="T156" s="349">
        <f>T157+T163+T166+T172</f>
        <v>0</v>
      </c>
      <c r="U156" s="349">
        <f>U157+U163+U166+U172</f>
        <v>0</v>
      </c>
      <c r="V156" s="370">
        <f t="shared" si="21"/>
        <v>1424562</v>
      </c>
    </row>
    <row r="157" spans="1:22" s="83" customFormat="1" ht="26.25" customHeight="1">
      <c r="A157" s="480" t="s">
        <v>713</v>
      </c>
      <c r="B157" s="388" t="s">
        <v>474</v>
      </c>
      <c r="C157" s="380"/>
      <c r="D157" s="380" t="s">
        <v>473</v>
      </c>
      <c r="E157" s="381"/>
      <c r="F157" s="386">
        <f>F158+F159+F161</f>
        <v>84355</v>
      </c>
      <c r="G157" s="386" t="e">
        <f>G158+G159+G161+#REF!</f>
        <v>#REF!</v>
      </c>
      <c r="H157" s="384" t="e">
        <f>IF(F157&gt;0,G157/F157*100,"")</f>
        <v>#REF!</v>
      </c>
      <c r="I157" s="384" t="e">
        <f>F157/F183</f>
        <v>#REF!</v>
      </c>
      <c r="J157" s="386"/>
      <c r="K157" s="386" t="e">
        <f>K158+K159+K161+#REF!</f>
        <v>#REF!</v>
      </c>
      <c r="L157" s="386" t="e">
        <f>L158+L159+L161+#REF!</f>
        <v>#REF!</v>
      </c>
      <c r="M157" s="386" t="e">
        <f>#REF!+M158+M159+M161+#REF!+M162</f>
        <v>#REF!</v>
      </c>
      <c r="N157" s="386" t="e">
        <f>#REF!+N158+N159+#REF!+N161+N162</f>
        <v>#REF!</v>
      </c>
      <c r="O157" s="386" t="e">
        <f>#REF!+O158+O159+#REF!+O161+O162</f>
        <v>#REF!</v>
      </c>
      <c r="P157" s="389">
        <f>P158+P159+P161+P162</f>
        <v>67100</v>
      </c>
      <c r="Q157" s="389">
        <f>Q158+Q159+Q161+Q162</f>
        <v>0</v>
      </c>
      <c r="R157" s="389">
        <f>R158+R159+R161+R162</f>
        <v>0</v>
      </c>
      <c r="S157" s="389">
        <f>S158+S159+S160+S161+S162</f>
        <v>86541</v>
      </c>
      <c r="T157" s="389">
        <f>T158+T159+T160+T161+T162</f>
        <v>0</v>
      </c>
      <c r="U157" s="389">
        <f>U158+U159+U160+U161+U162</f>
        <v>0</v>
      </c>
      <c r="V157" s="387">
        <f t="shared" si="21"/>
        <v>86541</v>
      </c>
    </row>
    <row r="158" spans="1:22" ht="20.25" customHeight="1">
      <c r="A158" s="116"/>
      <c r="B158" s="119" t="s">
        <v>538</v>
      </c>
      <c r="C158" s="14"/>
      <c r="D158" s="14"/>
      <c r="E158" s="345" t="s">
        <v>537</v>
      </c>
      <c r="F158" s="236">
        <v>8195</v>
      </c>
      <c r="G158" s="236">
        <v>33775</v>
      </c>
      <c r="H158" s="340">
        <f>IF(F158&gt;0,G158/F158*100,"")</f>
        <v>412.1415497254423</v>
      </c>
      <c r="I158" s="340" t="e">
        <f>F158/F183</f>
        <v>#REF!</v>
      </c>
      <c r="J158" s="236"/>
      <c r="K158" s="236">
        <v>0</v>
      </c>
      <c r="L158" s="236">
        <v>0</v>
      </c>
      <c r="M158" s="236">
        <v>20900</v>
      </c>
      <c r="N158" s="236">
        <v>0</v>
      </c>
      <c r="O158" s="236">
        <v>0</v>
      </c>
      <c r="P158" s="236">
        <v>18000</v>
      </c>
      <c r="Q158" s="236">
        <v>0</v>
      </c>
      <c r="R158" s="236">
        <v>0</v>
      </c>
      <c r="S158" s="236">
        <v>42700</v>
      </c>
      <c r="T158" s="238"/>
      <c r="U158" s="238"/>
      <c r="V158" s="343">
        <f t="shared" si="21"/>
        <v>42700</v>
      </c>
    </row>
    <row r="159" spans="1:22" ht="24" customHeight="1">
      <c r="A159" s="116"/>
      <c r="B159" s="119" t="s">
        <v>170</v>
      </c>
      <c r="C159" s="14"/>
      <c r="D159" s="14"/>
      <c r="E159" s="345" t="s">
        <v>124</v>
      </c>
      <c r="F159" s="236">
        <v>60000</v>
      </c>
      <c r="G159" s="236">
        <v>66000</v>
      </c>
      <c r="H159" s="340">
        <f>IF(F159&gt;0,G159/F159*100,"")</f>
        <v>110.00000000000001</v>
      </c>
      <c r="I159" s="340" t="e">
        <f>F159/F183</f>
        <v>#REF!</v>
      </c>
      <c r="J159" s="236"/>
      <c r="K159" s="236">
        <v>0</v>
      </c>
      <c r="L159" s="236">
        <v>0</v>
      </c>
      <c r="M159" s="236">
        <v>55000</v>
      </c>
      <c r="N159" s="236">
        <v>0</v>
      </c>
      <c r="O159" s="236">
        <v>0</v>
      </c>
      <c r="P159" s="236">
        <v>49000</v>
      </c>
      <c r="Q159" s="236">
        <v>0</v>
      </c>
      <c r="R159" s="236">
        <v>0</v>
      </c>
      <c r="S159" s="236">
        <v>25903</v>
      </c>
      <c r="T159" s="238"/>
      <c r="U159" s="238">
        <v>0</v>
      </c>
      <c r="V159" s="343">
        <f t="shared" si="21"/>
        <v>25903</v>
      </c>
    </row>
    <row r="160" spans="1:22" ht="24" customHeight="1">
      <c r="A160" s="116"/>
      <c r="B160" s="119" t="s">
        <v>43</v>
      </c>
      <c r="C160" s="14"/>
      <c r="D160" s="14"/>
      <c r="E160" s="345" t="s">
        <v>504</v>
      </c>
      <c r="F160" s="236"/>
      <c r="G160" s="236"/>
      <c r="H160" s="340"/>
      <c r="I160" s="340"/>
      <c r="J160" s="236"/>
      <c r="K160" s="236"/>
      <c r="L160" s="236"/>
      <c r="M160" s="236"/>
      <c r="N160" s="236"/>
      <c r="O160" s="236"/>
      <c r="P160" s="236"/>
      <c r="Q160" s="236"/>
      <c r="R160" s="236"/>
      <c r="S160" s="236">
        <v>2738</v>
      </c>
      <c r="T160" s="238">
        <v>0</v>
      </c>
      <c r="U160" s="238"/>
      <c r="V160" s="343">
        <f t="shared" si="21"/>
        <v>2738</v>
      </c>
    </row>
    <row r="161" spans="1:22" ht="15.75" customHeight="1">
      <c r="A161" s="116"/>
      <c r="B161" s="119" t="s">
        <v>715</v>
      </c>
      <c r="C161" s="14"/>
      <c r="D161" s="14"/>
      <c r="E161" s="345" t="s">
        <v>122</v>
      </c>
      <c r="F161" s="236">
        <v>16160</v>
      </c>
      <c r="G161" s="236">
        <v>16748</v>
      </c>
      <c r="H161" s="340">
        <f>IF(F161&gt;0,G161/F161*100,"")</f>
        <v>103.63861386138613</v>
      </c>
      <c r="I161" s="340" t="e">
        <f>F161/F183</f>
        <v>#REF!</v>
      </c>
      <c r="J161" s="236"/>
      <c r="K161" s="236">
        <v>0</v>
      </c>
      <c r="L161" s="236">
        <v>0</v>
      </c>
      <c r="M161" s="236">
        <v>700</v>
      </c>
      <c r="N161" s="236">
        <v>0</v>
      </c>
      <c r="O161" s="236">
        <v>0</v>
      </c>
      <c r="P161" s="236">
        <v>100</v>
      </c>
      <c r="Q161" s="236">
        <v>0</v>
      </c>
      <c r="R161" s="236">
        <v>0</v>
      </c>
      <c r="S161" s="236">
        <v>200</v>
      </c>
      <c r="T161" s="238"/>
      <c r="U161" s="238"/>
      <c r="V161" s="343">
        <f t="shared" si="21"/>
        <v>200</v>
      </c>
    </row>
    <row r="162" spans="1:22" ht="15" customHeight="1">
      <c r="A162" s="116"/>
      <c r="B162" s="119" t="s">
        <v>739</v>
      </c>
      <c r="C162" s="14"/>
      <c r="D162" s="14"/>
      <c r="E162" s="345" t="s">
        <v>126</v>
      </c>
      <c r="F162" s="236"/>
      <c r="G162" s="236"/>
      <c r="H162" s="340"/>
      <c r="I162" s="340"/>
      <c r="J162" s="236"/>
      <c r="K162" s="236"/>
      <c r="L162" s="236"/>
      <c r="M162" s="236">
        <v>200</v>
      </c>
      <c r="N162" s="236">
        <v>0</v>
      </c>
      <c r="O162" s="236">
        <v>0</v>
      </c>
      <c r="P162" s="236">
        <v>0</v>
      </c>
      <c r="Q162" s="236">
        <v>0</v>
      </c>
      <c r="R162" s="236">
        <v>0</v>
      </c>
      <c r="S162" s="236">
        <v>15000</v>
      </c>
      <c r="T162" s="238"/>
      <c r="U162" s="238"/>
      <c r="V162" s="343">
        <f t="shared" si="21"/>
        <v>15000</v>
      </c>
    </row>
    <row r="163" spans="1:22" s="83" customFormat="1" ht="24.75" customHeight="1">
      <c r="A163" s="480" t="s">
        <v>717</v>
      </c>
      <c r="B163" s="388" t="s">
        <v>141</v>
      </c>
      <c r="C163" s="380"/>
      <c r="D163" s="380" t="s">
        <v>476</v>
      </c>
      <c r="E163" s="381"/>
      <c r="F163" s="386" t="e">
        <f>#REF!+F164+#REF!+F165</f>
        <v>#REF!</v>
      </c>
      <c r="G163" s="386" t="e">
        <f>#REF!+G164+#REF!+G165</f>
        <v>#REF!</v>
      </c>
      <c r="H163" s="384" t="e">
        <f aca="true" t="shared" si="23" ref="H163:H168">IF(F163&gt;0,G163/F163*100,"")</f>
        <v>#REF!</v>
      </c>
      <c r="I163" s="384" t="e">
        <f>F163/F183</f>
        <v>#REF!</v>
      </c>
      <c r="J163" s="386"/>
      <c r="K163" s="386" t="e">
        <f>K164+#REF!+K165</f>
        <v>#REF!</v>
      </c>
      <c r="L163" s="386" t="e">
        <f>L164+#REF!+L165</f>
        <v>#REF!</v>
      </c>
      <c r="M163" s="386" t="e">
        <f>M164+#REF!+M165</f>
        <v>#REF!</v>
      </c>
      <c r="N163" s="386" t="e">
        <f>N164+#REF!+N165</f>
        <v>#REF!</v>
      </c>
      <c r="O163" s="386" t="e">
        <f>O164+#REF!+O165</f>
        <v>#REF!</v>
      </c>
      <c r="P163" s="389">
        <f aca="true" t="shared" si="24" ref="P163:U163">P164+P165</f>
        <v>22890</v>
      </c>
      <c r="Q163" s="389">
        <f t="shared" si="24"/>
        <v>0</v>
      </c>
      <c r="R163" s="389">
        <f t="shared" si="24"/>
        <v>904</v>
      </c>
      <c r="S163" s="389">
        <f t="shared" si="24"/>
        <v>9346</v>
      </c>
      <c r="T163" s="389">
        <f t="shared" si="24"/>
        <v>0</v>
      </c>
      <c r="U163" s="389">
        <f t="shared" si="24"/>
        <v>0</v>
      </c>
      <c r="V163" s="387">
        <f t="shared" si="21"/>
        <v>9346</v>
      </c>
    </row>
    <row r="164" spans="1:22" ht="23.25" customHeight="1">
      <c r="A164" s="116"/>
      <c r="B164" s="119" t="s">
        <v>170</v>
      </c>
      <c r="C164" s="14"/>
      <c r="D164" s="14"/>
      <c r="E164" s="345" t="s">
        <v>124</v>
      </c>
      <c r="F164" s="236">
        <v>19580</v>
      </c>
      <c r="G164" s="236">
        <v>23550</v>
      </c>
      <c r="H164" s="340">
        <f t="shared" si="23"/>
        <v>120.27579162410622</v>
      </c>
      <c r="I164" s="340" t="e">
        <f>F164/F183</f>
        <v>#REF!</v>
      </c>
      <c r="J164" s="236"/>
      <c r="K164" s="236">
        <v>0</v>
      </c>
      <c r="L164" s="236">
        <v>0</v>
      </c>
      <c r="M164" s="236">
        <v>22560</v>
      </c>
      <c r="N164" s="236">
        <v>0</v>
      </c>
      <c r="O164" s="236">
        <v>0</v>
      </c>
      <c r="P164" s="236">
        <v>22740</v>
      </c>
      <c r="Q164" s="236">
        <v>0</v>
      </c>
      <c r="R164" s="236">
        <v>760</v>
      </c>
      <c r="S164" s="236">
        <v>9246</v>
      </c>
      <c r="T164" s="238"/>
      <c r="U164" s="238"/>
      <c r="V164" s="343">
        <f t="shared" si="21"/>
        <v>9246</v>
      </c>
    </row>
    <row r="165" spans="1:22" ht="14.25" customHeight="1">
      <c r="A165" s="116"/>
      <c r="B165" s="119" t="s">
        <v>722</v>
      </c>
      <c r="C165" s="14"/>
      <c r="D165" s="14"/>
      <c r="E165" s="345" t="s">
        <v>125</v>
      </c>
      <c r="F165" s="236">
        <v>1563</v>
      </c>
      <c r="G165" s="236">
        <v>1863</v>
      </c>
      <c r="H165" s="340">
        <f t="shared" si="23"/>
        <v>119.19385796545106</v>
      </c>
      <c r="I165" s="340" t="e">
        <f>F165/F183</f>
        <v>#REF!</v>
      </c>
      <c r="J165" s="236"/>
      <c r="K165" s="236">
        <v>0</v>
      </c>
      <c r="L165" s="236">
        <v>0</v>
      </c>
      <c r="M165" s="236">
        <v>100</v>
      </c>
      <c r="N165" s="236">
        <v>0</v>
      </c>
      <c r="O165" s="236">
        <v>0</v>
      </c>
      <c r="P165" s="236">
        <v>150</v>
      </c>
      <c r="Q165" s="236">
        <v>0</v>
      </c>
      <c r="R165" s="236">
        <v>144</v>
      </c>
      <c r="S165" s="236">
        <v>100</v>
      </c>
      <c r="T165" s="238"/>
      <c r="U165" s="238"/>
      <c r="V165" s="343">
        <f t="shared" si="21"/>
        <v>100</v>
      </c>
    </row>
    <row r="166" spans="1:22" s="83" customFormat="1" ht="16.5" customHeight="1">
      <c r="A166" s="480" t="s">
        <v>6</v>
      </c>
      <c r="B166" s="388" t="s">
        <v>479</v>
      </c>
      <c r="C166" s="380"/>
      <c r="D166" s="380" t="s">
        <v>478</v>
      </c>
      <c r="E166" s="381"/>
      <c r="F166" s="386">
        <f>F167+F168</f>
        <v>21680</v>
      </c>
      <c r="G166" s="386">
        <f>G167+G168</f>
        <v>17100</v>
      </c>
      <c r="H166" s="384">
        <f t="shared" si="23"/>
        <v>78.87453874538745</v>
      </c>
      <c r="I166" s="384" t="e">
        <f>F166/F183</f>
        <v>#REF!</v>
      </c>
      <c r="J166" s="386"/>
      <c r="K166" s="386">
        <f>K167+K168</f>
        <v>0</v>
      </c>
      <c r="L166" s="386">
        <f>L167+L168</f>
        <v>0</v>
      </c>
      <c r="M166" s="386" t="e">
        <f>M167+M168+#REF!</f>
        <v>#REF!</v>
      </c>
      <c r="N166" s="386" t="e">
        <f>N167+N168+#REF!</f>
        <v>#REF!</v>
      </c>
      <c r="O166" s="386" t="e">
        <f>O167+O168+#REF!</f>
        <v>#REF!</v>
      </c>
      <c r="P166" s="389" t="e">
        <f>P167+P168+#REF!+P169+P170</f>
        <v>#REF!</v>
      </c>
      <c r="Q166" s="389" t="e">
        <f>Q167+Q168+#REF!+Q169+Q170</f>
        <v>#REF!</v>
      </c>
      <c r="R166" s="389" t="e">
        <f>R167+R168+#REF!+R169+R170</f>
        <v>#REF!</v>
      </c>
      <c r="S166" s="389">
        <f>S167+S168+S169+S170+S171</f>
        <v>672115</v>
      </c>
      <c r="T166" s="389">
        <f>T167+T168+T169+T170+T171</f>
        <v>0</v>
      </c>
      <c r="U166" s="389">
        <f>U167+U168+U169+U170+U171</f>
        <v>0</v>
      </c>
      <c r="V166" s="387">
        <f t="shared" si="21"/>
        <v>672115</v>
      </c>
    </row>
    <row r="167" spans="1:22" ht="23.25" customHeight="1">
      <c r="A167" s="116"/>
      <c r="B167" s="119" t="s">
        <v>721</v>
      </c>
      <c r="C167" s="14"/>
      <c r="D167" s="14"/>
      <c r="E167" s="345" t="s">
        <v>124</v>
      </c>
      <c r="F167" s="236">
        <v>19535</v>
      </c>
      <c r="G167" s="236">
        <v>14800</v>
      </c>
      <c r="H167" s="340">
        <f t="shared" si="23"/>
        <v>75.76145380087024</v>
      </c>
      <c r="I167" s="340" t="e">
        <f>F167/F183</f>
        <v>#REF!</v>
      </c>
      <c r="J167" s="236"/>
      <c r="K167" s="236">
        <v>0</v>
      </c>
      <c r="L167" s="236">
        <v>0</v>
      </c>
      <c r="M167" s="236">
        <v>165726</v>
      </c>
      <c r="N167" s="236">
        <v>0</v>
      </c>
      <c r="O167" s="236">
        <v>0</v>
      </c>
      <c r="P167" s="236">
        <v>187501</v>
      </c>
      <c r="Q167" s="236">
        <v>0</v>
      </c>
      <c r="R167" s="236">
        <v>0</v>
      </c>
      <c r="S167" s="236">
        <v>118646</v>
      </c>
      <c r="T167" s="238"/>
      <c r="U167" s="238">
        <v>0</v>
      </c>
      <c r="V167" s="343">
        <f t="shared" si="21"/>
        <v>118646</v>
      </c>
    </row>
    <row r="168" spans="1:22" ht="16.5" customHeight="1">
      <c r="A168" s="116"/>
      <c r="B168" s="260" t="s">
        <v>722</v>
      </c>
      <c r="C168" s="14"/>
      <c r="D168" s="14"/>
      <c r="E168" s="345" t="s">
        <v>125</v>
      </c>
      <c r="F168" s="236">
        <v>2145</v>
      </c>
      <c r="G168" s="236">
        <v>2300</v>
      </c>
      <c r="H168" s="340">
        <f t="shared" si="23"/>
        <v>107.22610722610723</v>
      </c>
      <c r="I168" s="340" t="e">
        <f>F168/F183</f>
        <v>#REF!</v>
      </c>
      <c r="J168" s="236"/>
      <c r="K168" s="236">
        <v>0</v>
      </c>
      <c r="L168" s="236">
        <v>0</v>
      </c>
      <c r="M168" s="236">
        <v>92012</v>
      </c>
      <c r="N168" s="236">
        <v>0</v>
      </c>
      <c r="O168" s="236">
        <v>0</v>
      </c>
      <c r="P168" s="236">
        <v>100384</v>
      </c>
      <c r="Q168" s="236">
        <v>0</v>
      </c>
      <c r="R168" s="236">
        <v>0</v>
      </c>
      <c r="S168" s="236">
        <v>86395</v>
      </c>
      <c r="T168" s="238"/>
      <c r="U168" s="238"/>
      <c r="V168" s="343">
        <f t="shared" si="21"/>
        <v>86395</v>
      </c>
    </row>
    <row r="169" spans="1:22" ht="15.75" customHeight="1">
      <c r="A169" s="116"/>
      <c r="B169" s="260" t="s">
        <v>715</v>
      </c>
      <c r="C169" s="14"/>
      <c r="D169" s="14"/>
      <c r="E169" s="345" t="s">
        <v>122</v>
      </c>
      <c r="F169" s="236"/>
      <c r="G169" s="236"/>
      <c r="H169" s="340"/>
      <c r="I169" s="340"/>
      <c r="J169" s="236"/>
      <c r="K169" s="236"/>
      <c r="L169" s="236"/>
      <c r="M169" s="236"/>
      <c r="N169" s="236"/>
      <c r="O169" s="236"/>
      <c r="P169" s="236">
        <v>4719</v>
      </c>
      <c r="Q169" s="236">
        <v>0</v>
      </c>
      <c r="R169" s="236">
        <v>0</v>
      </c>
      <c r="S169" s="236">
        <v>200</v>
      </c>
      <c r="T169" s="238"/>
      <c r="U169" s="238"/>
      <c r="V169" s="343">
        <f t="shared" si="21"/>
        <v>200</v>
      </c>
    </row>
    <row r="170" spans="1:22" ht="15.75" customHeight="1">
      <c r="A170" s="116"/>
      <c r="B170" s="260" t="s">
        <v>739</v>
      </c>
      <c r="C170" s="14"/>
      <c r="D170" s="14"/>
      <c r="E170" s="345" t="s">
        <v>126</v>
      </c>
      <c r="F170" s="236"/>
      <c r="G170" s="236"/>
      <c r="H170" s="340"/>
      <c r="I170" s="340"/>
      <c r="J170" s="236"/>
      <c r="K170" s="236"/>
      <c r="L170" s="236"/>
      <c r="M170" s="236"/>
      <c r="N170" s="236"/>
      <c r="O170" s="236"/>
      <c r="P170" s="236">
        <v>51569</v>
      </c>
      <c r="Q170" s="236">
        <v>0</v>
      </c>
      <c r="R170" s="236">
        <v>0</v>
      </c>
      <c r="S170" s="236">
        <v>16874</v>
      </c>
      <c r="T170" s="238">
        <v>0</v>
      </c>
      <c r="U170" s="238"/>
      <c r="V170" s="343">
        <f t="shared" si="21"/>
        <v>16874</v>
      </c>
    </row>
    <row r="171" spans="1:22" s="32" customFormat="1" ht="24" customHeight="1">
      <c r="A171" s="268"/>
      <c r="B171" s="260" t="s">
        <v>622</v>
      </c>
      <c r="C171" s="23"/>
      <c r="D171" s="23"/>
      <c r="E171" s="345" t="s">
        <v>113</v>
      </c>
      <c r="F171" s="241"/>
      <c r="G171" s="241"/>
      <c r="H171" s="361"/>
      <c r="I171" s="361"/>
      <c r="J171" s="241"/>
      <c r="K171" s="241"/>
      <c r="L171" s="241"/>
      <c r="M171" s="241"/>
      <c r="N171" s="241"/>
      <c r="O171" s="241"/>
      <c r="P171" s="363"/>
      <c r="Q171" s="363"/>
      <c r="R171" s="363"/>
      <c r="S171" s="346">
        <v>450000</v>
      </c>
      <c r="T171" s="344"/>
      <c r="U171" s="344"/>
      <c r="V171" s="343">
        <f t="shared" si="21"/>
        <v>450000</v>
      </c>
    </row>
    <row r="172" spans="1:22" ht="15.75" customHeight="1">
      <c r="A172" s="482" t="s">
        <v>8</v>
      </c>
      <c r="B172" s="388" t="s">
        <v>101</v>
      </c>
      <c r="C172" s="390"/>
      <c r="D172" s="390" t="s">
        <v>480</v>
      </c>
      <c r="E172" s="381"/>
      <c r="F172" s="386"/>
      <c r="G172" s="386"/>
      <c r="H172" s="384"/>
      <c r="I172" s="384"/>
      <c r="J172" s="386"/>
      <c r="K172" s="386"/>
      <c r="L172" s="386"/>
      <c r="M172" s="386"/>
      <c r="N172" s="386"/>
      <c r="O172" s="386"/>
      <c r="P172" s="386"/>
      <c r="Q172" s="386"/>
      <c r="R172" s="386"/>
      <c r="S172" s="386">
        <f>S173+S174+S175</f>
        <v>656560</v>
      </c>
      <c r="T172" s="386">
        <f>T173+T174+T175</f>
        <v>0</v>
      </c>
      <c r="U172" s="386">
        <f>U173+U174+U175</f>
        <v>0</v>
      </c>
      <c r="V172" s="387">
        <f t="shared" si="21"/>
        <v>656560</v>
      </c>
    </row>
    <row r="173" spans="1:22" ht="21.75" customHeight="1">
      <c r="A173" s="116"/>
      <c r="B173" s="119" t="s">
        <v>99</v>
      </c>
      <c r="C173" s="421"/>
      <c r="D173" s="421"/>
      <c r="E173" s="378" t="s">
        <v>326</v>
      </c>
      <c r="F173" s="365"/>
      <c r="G173" s="365"/>
      <c r="H173" s="376"/>
      <c r="I173" s="376"/>
      <c r="J173" s="365"/>
      <c r="K173" s="365"/>
      <c r="L173" s="365"/>
      <c r="M173" s="365"/>
      <c r="N173" s="365"/>
      <c r="O173" s="365"/>
      <c r="P173" s="365"/>
      <c r="Q173" s="365"/>
      <c r="R173" s="365"/>
      <c r="S173" s="365">
        <v>248400</v>
      </c>
      <c r="T173" s="366">
        <v>0</v>
      </c>
      <c r="U173" s="366"/>
      <c r="V173" s="412">
        <f t="shared" si="21"/>
        <v>248400</v>
      </c>
    </row>
    <row r="174" spans="1:22" s="32" customFormat="1" ht="46.5" customHeight="1">
      <c r="A174" s="267"/>
      <c r="B174" s="119" t="s">
        <v>64</v>
      </c>
      <c r="C174" s="46"/>
      <c r="D174" s="46"/>
      <c r="E174" s="342">
        <v>2888</v>
      </c>
      <c r="F174" s="338"/>
      <c r="G174" s="339"/>
      <c r="H174" s="340"/>
      <c r="I174" s="341"/>
      <c r="J174" s="236"/>
      <c r="K174" s="236"/>
      <c r="L174" s="236"/>
      <c r="M174" s="236"/>
      <c r="N174" s="236"/>
      <c r="O174" s="236"/>
      <c r="P174" s="236"/>
      <c r="Q174" s="236"/>
      <c r="R174" s="236"/>
      <c r="S174" s="236">
        <v>277549</v>
      </c>
      <c r="T174" s="238">
        <v>0</v>
      </c>
      <c r="U174" s="238"/>
      <c r="V174" s="343">
        <f t="shared" si="21"/>
        <v>277549</v>
      </c>
    </row>
    <row r="175" spans="1:22" s="32" customFormat="1" ht="44.25" customHeight="1">
      <c r="A175" s="267"/>
      <c r="B175" s="119" t="s">
        <v>64</v>
      </c>
      <c r="C175" s="46"/>
      <c r="D175" s="46"/>
      <c r="E175" s="342">
        <v>2889</v>
      </c>
      <c r="F175" s="338"/>
      <c r="G175" s="339"/>
      <c r="H175" s="340"/>
      <c r="I175" s="341"/>
      <c r="J175" s="236"/>
      <c r="K175" s="236"/>
      <c r="L175" s="236"/>
      <c r="M175" s="236"/>
      <c r="N175" s="236"/>
      <c r="O175" s="236"/>
      <c r="P175" s="236"/>
      <c r="Q175" s="236"/>
      <c r="R175" s="236"/>
      <c r="S175" s="236">
        <v>130611</v>
      </c>
      <c r="T175" s="238">
        <v>0</v>
      </c>
      <c r="U175" s="238"/>
      <c r="V175" s="343">
        <f t="shared" si="21"/>
        <v>130611</v>
      </c>
    </row>
    <row r="176" spans="1:23" s="32" customFormat="1" ht="25.5">
      <c r="A176" s="266" t="s">
        <v>102</v>
      </c>
      <c r="B176" s="251" t="s">
        <v>103</v>
      </c>
      <c r="C176" s="246">
        <v>900</v>
      </c>
      <c r="D176" s="246"/>
      <c r="E176" s="369"/>
      <c r="F176" s="356"/>
      <c r="G176" s="357"/>
      <c r="H176" s="348"/>
      <c r="I176" s="358"/>
      <c r="J176" s="337"/>
      <c r="K176" s="337"/>
      <c r="L176" s="337"/>
      <c r="M176" s="337"/>
      <c r="N176" s="337"/>
      <c r="O176" s="337"/>
      <c r="P176" s="337"/>
      <c r="Q176" s="337"/>
      <c r="R176" s="337"/>
      <c r="S176" s="337">
        <f>S177</f>
        <v>51350</v>
      </c>
      <c r="T176" s="337">
        <f>T177</f>
        <v>12000</v>
      </c>
      <c r="U176" s="337">
        <f>U177</f>
        <v>0</v>
      </c>
      <c r="V176" s="373">
        <f t="shared" si="21"/>
        <v>63350</v>
      </c>
      <c r="W176" s="87"/>
    </row>
    <row r="177" spans="1:23" ht="25.5" customHeight="1">
      <c r="A177" s="480" t="s">
        <v>713</v>
      </c>
      <c r="B177" s="388" t="s">
        <v>453</v>
      </c>
      <c r="C177" s="396"/>
      <c r="D177" s="396">
        <v>90011</v>
      </c>
      <c r="E177" s="386"/>
      <c r="F177" s="382"/>
      <c r="G177" s="383"/>
      <c r="H177" s="384"/>
      <c r="I177" s="385"/>
      <c r="J177" s="386"/>
      <c r="K177" s="386"/>
      <c r="L177" s="386"/>
      <c r="M177" s="386"/>
      <c r="N177" s="386"/>
      <c r="O177" s="386"/>
      <c r="P177" s="386"/>
      <c r="Q177" s="386"/>
      <c r="R177" s="386"/>
      <c r="S177" s="386">
        <f>S178+S179</f>
        <v>51350</v>
      </c>
      <c r="T177" s="386">
        <f>T178+T179</f>
        <v>12000</v>
      </c>
      <c r="U177" s="386">
        <f>U178+U179</f>
        <v>0</v>
      </c>
      <c r="V177" s="387">
        <f t="shared" si="21"/>
        <v>63350</v>
      </c>
      <c r="W177" s="35"/>
    </row>
    <row r="178" spans="1:23" ht="23.25" customHeight="1">
      <c r="A178" s="267"/>
      <c r="B178" s="119" t="s">
        <v>626</v>
      </c>
      <c r="C178" s="18"/>
      <c r="D178" s="18"/>
      <c r="E178" s="342">
        <v>2440</v>
      </c>
      <c r="F178" s="338"/>
      <c r="G178" s="339"/>
      <c r="H178" s="340"/>
      <c r="I178" s="341"/>
      <c r="J178" s="236"/>
      <c r="K178" s="236"/>
      <c r="L178" s="236"/>
      <c r="M178" s="236"/>
      <c r="N178" s="236"/>
      <c r="O178" s="236"/>
      <c r="P178" s="236"/>
      <c r="Q178" s="236"/>
      <c r="R178" s="236"/>
      <c r="S178" s="236">
        <v>6350</v>
      </c>
      <c r="T178" s="238">
        <v>12000</v>
      </c>
      <c r="U178" s="238">
        <v>0</v>
      </c>
      <c r="V178" s="343">
        <f t="shared" si="21"/>
        <v>18350</v>
      </c>
      <c r="W178" s="35"/>
    </row>
    <row r="179" spans="1:36" ht="34.5" customHeight="1">
      <c r="A179" s="268"/>
      <c r="B179" s="119" t="s">
        <v>625</v>
      </c>
      <c r="C179" s="18"/>
      <c r="D179" s="18"/>
      <c r="E179" s="342">
        <v>6260</v>
      </c>
      <c r="F179" s="338"/>
      <c r="G179" s="339"/>
      <c r="H179" s="340"/>
      <c r="I179" s="341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>
        <v>45000</v>
      </c>
      <c r="T179" s="238">
        <v>0</v>
      </c>
      <c r="U179" s="238"/>
      <c r="V179" s="343">
        <f t="shared" si="21"/>
        <v>45000</v>
      </c>
      <c r="W179" s="202"/>
      <c r="X179" s="168"/>
      <c r="Y179" s="168"/>
      <c r="Z179" s="168"/>
      <c r="AA179" s="168"/>
      <c r="AB179" s="168"/>
      <c r="AC179" s="168"/>
      <c r="AD179" s="168"/>
      <c r="AE179" s="168"/>
      <c r="AF179" s="168"/>
      <c r="AG179" s="168"/>
      <c r="AH179" s="168"/>
      <c r="AI179" s="168"/>
      <c r="AJ179" s="168"/>
    </row>
    <row r="180" spans="1:22" s="32" customFormat="1" ht="23.25" customHeight="1">
      <c r="A180" s="266" t="s">
        <v>104</v>
      </c>
      <c r="B180" s="251" t="s">
        <v>593</v>
      </c>
      <c r="C180" s="246">
        <v>921</v>
      </c>
      <c r="D180" s="203"/>
      <c r="E180" s="369"/>
      <c r="F180" s="356"/>
      <c r="G180" s="357"/>
      <c r="H180" s="348"/>
      <c r="I180" s="358"/>
      <c r="J180" s="337"/>
      <c r="K180" s="337"/>
      <c r="L180" s="337"/>
      <c r="M180" s="337"/>
      <c r="N180" s="337"/>
      <c r="O180" s="337"/>
      <c r="P180" s="337"/>
      <c r="Q180" s="337"/>
      <c r="R180" s="337"/>
      <c r="S180" s="337">
        <f>S182</f>
        <v>0</v>
      </c>
      <c r="T180" s="337">
        <f>T182</f>
        <v>0</v>
      </c>
      <c r="U180" s="337">
        <f>U182</f>
        <v>0</v>
      </c>
      <c r="V180" s="373">
        <f t="shared" si="21"/>
        <v>0</v>
      </c>
    </row>
    <row r="181" spans="1:22" s="275" customFormat="1" ht="23.25" customHeight="1">
      <c r="A181" s="480" t="s">
        <v>713</v>
      </c>
      <c r="B181" s="388" t="s">
        <v>489</v>
      </c>
      <c r="C181" s="396"/>
      <c r="D181" s="399">
        <v>92116</v>
      </c>
      <c r="E181" s="393"/>
      <c r="F181" s="382"/>
      <c r="G181" s="383"/>
      <c r="H181" s="384"/>
      <c r="I181" s="385"/>
      <c r="J181" s="386"/>
      <c r="K181" s="386"/>
      <c r="L181" s="386"/>
      <c r="M181" s="386"/>
      <c r="N181" s="386"/>
      <c r="O181" s="386"/>
      <c r="P181" s="386"/>
      <c r="Q181" s="386"/>
      <c r="R181" s="386"/>
      <c r="S181" s="386">
        <f>S182</f>
        <v>0</v>
      </c>
      <c r="T181" s="386">
        <f>T182</f>
        <v>0</v>
      </c>
      <c r="U181" s="386">
        <f>U182</f>
        <v>0</v>
      </c>
      <c r="V181" s="387">
        <f t="shared" si="21"/>
        <v>0</v>
      </c>
    </row>
    <row r="182" spans="1:22" s="32" customFormat="1" ht="25.5" customHeight="1" thickBot="1">
      <c r="A182" s="280"/>
      <c r="B182" s="119" t="s">
        <v>623</v>
      </c>
      <c r="C182" s="46"/>
      <c r="D182" s="46"/>
      <c r="E182" s="342">
        <v>6630</v>
      </c>
      <c r="F182" s="338"/>
      <c r="G182" s="339"/>
      <c r="H182" s="340"/>
      <c r="I182" s="341"/>
      <c r="J182" s="236"/>
      <c r="K182" s="236"/>
      <c r="L182" s="236"/>
      <c r="M182" s="236"/>
      <c r="N182" s="236"/>
      <c r="O182" s="236"/>
      <c r="P182" s="236"/>
      <c r="Q182" s="236"/>
      <c r="R182" s="236"/>
      <c r="S182" s="236">
        <v>0</v>
      </c>
      <c r="T182" s="238"/>
      <c r="U182" s="238">
        <v>0</v>
      </c>
      <c r="V182" s="346">
        <f t="shared" si="21"/>
        <v>0</v>
      </c>
    </row>
    <row r="183" spans="1:22" ht="18.75" customHeight="1" thickBot="1">
      <c r="A183" s="277"/>
      <c r="B183" s="430" t="s">
        <v>81</v>
      </c>
      <c r="C183" s="431"/>
      <c r="D183" s="431"/>
      <c r="E183" s="431"/>
      <c r="F183" s="432" t="e">
        <f>#REF!+#REF!+#REF!+#REF!+#REF!+#REF!+#REF!+#REF!</f>
        <v>#REF!</v>
      </c>
      <c r="G183" s="433" t="e">
        <f>#REF!+#REF!+#REF!+#REF!+#REF!+#REF!+#REF!+#REF!+#REF!+#REF!+#REF!+#REF!</f>
        <v>#REF!</v>
      </c>
      <c r="H183" s="434" t="e">
        <f>IF(F183&gt;0,G183/F183*100,"")</f>
        <v>#REF!</v>
      </c>
      <c r="I183" s="435" t="e">
        <f>F183/F183</f>
        <v>#REF!</v>
      </c>
      <c r="J183" s="436"/>
      <c r="K183" s="436" t="e">
        <f>#REF!+#REF!+#REF!+#REF!+#REF!+#REF!+#REF!+#REF!+#REF!</f>
        <v>#REF!</v>
      </c>
      <c r="L183" s="436" t="e">
        <f>#REF!+#REF!+#REF!+#REF!+#REF!+#REF!++#REF!+#REF!+#REF!</f>
        <v>#REF!</v>
      </c>
      <c r="M183" s="437" t="e">
        <f>#REF!+#REF!+#REF!+#REF!+#REF!+#REF!+#REF!+#REF!+#REF!+#REF!+#REF!</f>
        <v>#REF!</v>
      </c>
      <c r="N183" s="437" t="e">
        <f>#REF!+#REF!+#REF!+#REF!+#REF!+#REF!+#REF!+#REF!+#REF!+#REF!+#REF!</f>
        <v>#REF!</v>
      </c>
      <c r="O183" s="437" t="e">
        <f>#REF!+#REF!+#REF!+#REF!+#REF!+#REF!+#REF!+#REF!+#REF!+#REF!+#REF!</f>
        <v>#REF!</v>
      </c>
      <c r="P183" s="437" t="e">
        <f>#REF!+#REF!+#REF!+#REF!+#REF!+#REF!+#REF!+#REF!+#REF!+#REF!+#REF!+#REF!</f>
        <v>#REF!</v>
      </c>
      <c r="Q183" s="437" t="e">
        <f>#REF!+#REF!+#REF!+#REF!+#REF!+#REF!+#REF!+#REF!+#REF!+#REF!+#REF!+#REF!</f>
        <v>#REF!</v>
      </c>
      <c r="R183" s="437" t="e">
        <f>#REF!+#REF!+#REF!+#REF!+#REF!+#REF!+#REF!+#REF!+#REF!+#REF!+#REF!+#REF!</f>
        <v>#REF!</v>
      </c>
      <c r="S183" s="437">
        <f>S11+S18+S21+S34+S42+S50+S61+S78+S82+S94+S109+S114+S123+S143+S156+S176+S180</f>
        <v>35821386</v>
      </c>
      <c r="T183" s="437">
        <f>T11+T18+T21+T34+T42+T50+T61+T78+T82+T94+T109+T114+T123+T143+T156+T176+T180</f>
        <v>155979</v>
      </c>
      <c r="U183" s="437">
        <f>U11+U18+U21+U34+U42+U50+U61+U78+U82+U94+U109+U114+U123+U143+U156+U176+U180</f>
        <v>35021</v>
      </c>
      <c r="V183" s="438">
        <f>S183+T183-U183</f>
        <v>35942344</v>
      </c>
    </row>
    <row r="184" spans="1:22" ht="15.75" customHeight="1">
      <c r="A184" s="278"/>
      <c r="B184" s="549" t="s">
        <v>82</v>
      </c>
      <c r="C184" s="550"/>
      <c r="D184" s="550"/>
      <c r="E184" s="551"/>
      <c r="F184" s="52" t="e">
        <f>#REF!+#REF!+#REF!+#REF!+#REF!+#REF!</f>
        <v>#REF!</v>
      </c>
      <c r="G184" s="141" t="e">
        <f>#REF!+#REF!+#REF!+#REF!+#REF!+#REF!</f>
        <v>#REF!</v>
      </c>
      <c r="H184" s="139" t="e">
        <f>IF(F184&gt;0,G184/F184*100,"")</f>
        <v>#REF!</v>
      </c>
      <c r="I184" s="133" t="e">
        <f>F184/F183</f>
        <v>#REF!</v>
      </c>
      <c r="J184" s="34"/>
      <c r="K184" s="34" t="e">
        <f>#REF!+#REF!+#REF!+#REF!+#REF!+#REF!</f>
        <v>#REF!</v>
      </c>
      <c r="L184" s="34" t="e">
        <f>#REF!+#REF!+#REF!+#REF!+#REF!+#REF!</f>
        <v>#REF!</v>
      </c>
      <c r="M184" s="142" t="e">
        <f>#REF!+#REF!+#REF!+#REF!+#REF!+#REF!+#REF!+#REF!+#REF!</f>
        <v>#REF!</v>
      </c>
      <c r="N184" s="142" t="e">
        <f>#REF!+#REF!+#REF!+#REF!+#REF!+#REF!+#REF!+#REF!+#REF!</f>
        <v>#REF!</v>
      </c>
      <c r="O184" s="142" t="e">
        <f>#REF!+#REF!+#REF!+#REF!+#REF!+#REF!+#REF!+#REF!+#REF!</f>
        <v>#REF!</v>
      </c>
      <c r="P184" s="142" t="e">
        <f>#REF!+#REF!+#REF!+#REF!+#REF!+#REF!+#REF!</f>
        <v>#REF!</v>
      </c>
      <c r="Q184" s="142" t="e">
        <f>#REF!+#REF!+#REF!+#REF!+#REF!+#REF!+#REF!</f>
        <v>#REF!</v>
      </c>
      <c r="R184" s="142" t="e">
        <f>#REF!+#REF!+#REF!+#REF!+#REF!+#REF!+#REF!</f>
        <v>#REF!</v>
      </c>
      <c r="S184" s="142">
        <f>S185+S186+S187+S188+S189</f>
        <v>14078807</v>
      </c>
      <c r="T184" s="142">
        <f>T185+T186+T187+T188+T189</f>
        <v>105979</v>
      </c>
      <c r="U184" s="142">
        <f>U185+U186+U187+U188+U189</f>
        <v>35021</v>
      </c>
      <c r="V184" s="283">
        <f t="shared" si="21"/>
        <v>14149765</v>
      </c>
    </row>
    <row r="185" spans="1:22" ht="14.25" customHeight="1">
      <c r="A185" s="116"/>
      <c r="B185" s="546" t="s">
        <v>132</v>
      </c>
      <c r="C185" s="547"/>
      <c r="D185" s="547"/>
      <c r="E185" s="548"/>
      <c r="F185" s="4" t="e">
        <f>#REF!+#REF!</f>
        <v>#REF!</v>
      </c>
      <c r="G185" s="85" t="e">
        <f>#REF!+#REF!</f>
        <v>#REF!</v>
      </c>
      <c r="H185" s="84" t="e">
        <f>IF(F185&gt;0,G185/F185*100,"")</f>
        <v>#REF!</v>
      </c>
      <c r="I185" s="5" t="e">
        <f>F185/F183</f>
        <v>#REF!</v>
      </c>
      <c r="J185" s="7"/>
      <c r="K185" s="7" t="e">
        <f>#REF!</f>
        <v>#REF!</v>
      </c>
      <c r="L185" s="7" t="e">
        <f>#REF!</f>
        <v>#REF!</v>
      </c>
      <c r="M185" s="88" t="e">
        <f>#REF!</f>
        <v>#REF!</v>
      </c>
      <c r="N185" s="88" t="e">
        <f>#REF!</f>
        <v>#REF!</v>
      </c>
      <c r="O185" s="88" t="e">
        <f>#REF!</f>
        <v>#REF!</v>
      </c>
      <c r="P185" s="88" t="e">
        <f>#REF!</f>
        <v>#REF!</v>
      </c>
      <c r="Q185" s="88" t="e">
        <f>#REF!</f>
        <v>#REF!</v>
      </c>
      <c r="R185" s="88" t="e">
        <f>#REF!</f>
        <v>#REF!</v>
      </c>
      <c r="S185" s="88">
        <f>S128+S134+S140+S141+S173</f>
        <v>797938</v>
      </c>
      <c r="T185" s="88">
        <f>T128+T134+T140+T141+T173</f>
        <v>75000</v>
      </c>
      <c r="U185" s="88">
        <f>U128+U134+U140+U173</f>
        <v>0</v>
      </c>
      <c r="V185" s="281">
        <f t="shared" si="21"/>
        <v>872938</v>
      </c>
    </row>
    <row r="186" spans="1:22" ht="13.5" customHeight="1">
      <c r="A186" s="116"/>
      <c r="B186" s="546" t="s">
        <v>173</v>
      </c>
      <c r="C186" s="547"/>
      <c r="D186" s="547"/>
      <c r="E186" s="548"/>
      <c r="F186" s="4" t="e">
        <f>#REF!</f>
        <v>#REF!</v>
      </c>
      <c r="G186" s="85" t="e">
        <f>#REF!</f>
        <v>#REF!</v>
      </c>
      <c r="H186" s="84" t="e">
        <f>IF(F186&gt;0,G186/F186*100,"")</f>
        <v>#REF!</v>
      </c>
      <c r="I186" s="5" t="e">
        <f>F186/F183</f>
        <v>#REF!</v>
      </c>
      <c r="J186" s="7"/>
      <c r="K186" s="7" t="e">
        <f>#REF!</f>
        <v>#REF!</v>
      </c>
      <c r="L186" s="7" t="e">
        <f>#REF!</f>
        <v>#REF!</v>
      </c>
      <c r="M186" s="88" t="e">
        <f>#REF!</f>
        <v>#REF!</v>
      </c>
      <c r="N186" s="88" t="e">
        <f>#REF!</f>
        <v>#REF!</v>
      </c>
      <c r="O186" s="88" t="e">
        <f>#REF!</f>
        <v>#REF!</v>
      </c>
      <c r="P186" s="88" t="e">
        <f>#REF!</f>
        <v>#REF!</v>
      </c>
      <c r="Q186" s="88" t="e">
        <f>#REF!</f>
        <v>#REF!</v>
      </c>
      <c r="R186" s="88" t="e">
        <f>#REF!</f>
        <v>#REF!</v>
      </c>
      <c r="S186" s="88">
        <f>S13+S41+S44+S46+S49+S52+S60+S65+S77+S122</f>
        <v>3206295</v>
      </c>
      <c r="T186" s="88">
        <f>T13+T41+T44+T46+T49+T52+T60+T65+T77+T122</f>
        <v>0</v>
      </c>
      <c r="U186" s="88">
        <f>U13+U41+U44+U46+U49+U52+U60+U65+U77+U122</f>
        <v>0</v>
      </c>
      <c r="V186" s="281">
        <f t="shared" si="21"/>
        <v>3206295</v>
      </c>
    </row>
    <row r="187" spans="1:22" ht="13.5" customHeight="1">
      <c r="A187" s="116"/>
      <c r="B187" s="543" t="s">
        <v>136</v>
      </c>
      <c r="C187" s="544"/>
      <c r="D187" s="544"/>
      <c r="E187" s="545"/>
      <c r="F187" s="4" t="e">
        <f>#REF!+#REF!+#REF!</f>
        <v>#REF!</v>
      </c>
      <c r="G187" s="85" t="e">
        <f>#REF!+#REF!</f>
        <v>#REF!</v>
      </c>
      <c r="H187" s="84" t="e">
        <f>IF(F187&gt;0,G187/F187*100,"")</f>
        <v>#REF!</v>
      </c>
      <c r="I187" s="5" t="e">
        <f>F187/F183</f>
        <v>#REF!</v>
      </c>
      <c r="J187" s="7"/>
      <c r="K187" s="7" t="e">
        <f>#REF!+#REF!</f>
        <v>#REF!</v>
      </c>
      <c r="L187" s="7" t="e">
        <f>#REF!+#REF!</f>
        <v>#REF!</v>
      </c>
      <c r="M187" s="88" t="e">
        <f>#REF!+#REF!+#REF!+#REF!</f>
        <v>#REF!</v>
      </c>
      <c r="N187" s="88" t="e">
        <f>#REF!+#REF!+#REF!+#REF!</f>
        <v>#REF!</v>
      </c>
      <c r="O187" s="88" t="e">
        <f>#REF!+#REF!+#REF!+#REF!</f>
        <v>#REF!</v>
      </c>
      <c r="P187" s="88" t="e">
        <f>#REF!+#REF!+#REF!</f>
        <v>#REF!</v>
      </c>
      <c r="Q187" s="88" t="e">
        <f>#REF!+#REF!+#REF!</f>
        <v>#REF!</v>
      </c>
      <c r="R187" s="88" t="e">
        <f>#REF!+#REF!+#REF!</f>
        <v>#REF!</v>
      </c>
      <c r="S187" s="88">
        <f>S66+S67+S68+S32+S33+S108+S129+S137+S174+S175+S112+S113+S120+S182</f>
        <v>1656498</v>
      </c>
      <c r="T187" s="88">
        <f>T66+T67+T68+T32+T33+T108+T129+T137+T174+T175+T112+T113+T120+T182</f>
        <v>10000</v>
      </c>
      <c r="U187" s="88">
        <f>U66+U67+U68+U32+U33+U108+U129+U137+U174+U175+U112+U113+U120+U182</f>
        <v>0</v>
      </c>
      <c r="V187" s="88">
        <f>V66+V67+V68+V32+V33+V108+V129+V137+V174+V175+V112+V113+V120+V182</f>
        <v>1666498</v>
      </c>
    </row>
    <row r="188" spans="1:22" ht="16.5" customHeight="1">
      <c r="A188" s="116"/>
      <c r="B188" s="543" t="s">
        <v>561</v>
      </c>
      <c r="C188" s="544"/>
      <c r="D188" s="544"/>
      <c r="E188" s="545"/>
      <c r="F188" s="4"/>
      <c r="G188" s="85"/>
      <c r="H188" s="84"/>
      <c r="I188" s="5"/>
      <c r="J188" s="7"/>
      <c r="K188" s="7"/>
      <c r="L188" s="7"/>
      <c r="M188" s="88"/>
      <c r="N188" s="88"/>
      <c r="O188" s="88"/>
      <c r="P188" s="88"/>
      <c r="Q188" s="88"/>
      <c r="R188" s="88"/>
      <c r="S188" s="88">
        <f>S15+S146+S147+S152+S178+S179</f>
        <v>888230</v>
      </c>
      <c r="T188" s="88">
        <f>T15+T146+T147+T152+T178+T179</f>
        <v>12000</v>
      </c>
      <c r="U188" s="88">
        <f>U15+U146+U147+U152+U178+U179</f>
        <v>0</v>
      </c>
      <c r="V188" s="281">
        <f t="shared" si="21"/>
        <v>900230</v>
      </c>
    </row>
    <row r="189" spans="1:22" ht="13.5" customHeight="1" thickBot="1">
      <c r="A189" s="116"/>
      <c r="B189" s="540" t="s">
        <v>137</v>
      </c>
      <c r="C189" s="541"/>
      <c r="D189" s="541"/>
      <c r="E189" s="542"/>
      <c r="F189" s="63"/>
      <c r="G189" s="63"/>
      <c r="H189" s="63"/>
      <c r="I189" s="63"/>
      <c r="J189" s="63"/>
      <c r="K189" s="63"/>
      <c r="L189" s="63"/>
      <c r="M189" s="401" t="e">
        <f>#REF!</f>
        <v>#REF!</v>
      </c>
      <c r="N189" s="401" t="e">
        <f>#REF!</f>
        <v>#REF!</v>
      </c>
      <c r="O189" s="401" t="e">
        <f>#REF!</f>
        <v>#REF!</v>
      </c>
      <c r="P189" s="401" t="e">
        <f>#REF!+#REF!</f>
        <v>#REF!</v>
      </c>
      <c r="Q189" s="401" t="e">
        <f>#REF!+#REF!</f>
        <v>#REF!</v>
      </c>
      <c r="R189" s="401" t="e">
        <f>#REF!+#REF!</f>
        <v>#REF!</v>
      </c>
      <c r="S189" s="401">
        <f>S20+S29+S30+S31+S118+S119+S153+S171</f>
        <v>7529846</v>
      </c>
      <c r="T189" s="401">
        <f>T20+T29+T30+T31+T118+T119+T153+T171</f>
        <v>8979</v>
      </c>
      <c r="U189" s="401">
        <f>U20+U29+U30+U31+U118+U119+U153+U171</f>
        <v>35021</v>
      </c>
      <c r="V189" s="402">
        <f t="shared" si="21"/>
        <v>7503804</v>
      </c>
    </row>
    <row r="190" spans="1:23" ht="14.25" customHeight="1" thickBot="1">
      <c r="A190" s="400"/>
      <c r="B190" s="519" t="s">
        <v>105</v>
      </c>
      <c r="C190" s="538"/>
      <c r="D190" s="538"/>
      <c r="E190" s="53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>
        <f>S17+S23+S24+S25+S26+S27+S28+S36+S37+S38+S39+S40+S54+S55+S56+S57+S58+S63+S64+S80+S81+S91+S96+S97+S98+S99+S101+S102+S103+S104+S105+S106+S111+S116+S117+S125+S126+S127+S131+S132+S133+S136+S139+S145+S149+S150+S151+S158+S159+S160+S161+S162+S164+S165+S167+S168+S169+S170</f>
        <v>5235487</v>
      </c>
      <c r="T190" s="59">
        <f>T17+T23+T24+T25+T26+T27+T28+T36+T37+T38+T39+T40+T54+T55+T56+T57+T58+T63+T64+T80+T81+T91+T96+T97+T98+T99+T101+T102+T103+T104+T105+T106+T111+T116+T117+T125+T126+T127+T131+T132+T133+T136+T139+T145+T149+T150+T151+T158+T159+T160+T161+T162+T164+T165+T167+T168+T169+T170</f>
        <v>50000</v>
      </c>
      <c r="U190" s="59">
        <f>U17+U23+U24+U25+U26+U27+U28+U36+U37+U38+U39+U40+U54+U55+U56+U57+U58+U63+U64+U80+U81+U91+U96+U97+U98+U99+U101+U102+U103+U104+U105+U106+U111+U116+U117+U125+U126+U127+U131+U132+U133+U136+U139+U145+U149+U150+U151+U158+U159+U160+U161+U162+U164+U165+U167+U168+U169+U170</f>
        <v>0</v>
      </c>
      <c r="V190" s="59">
        <f>V17+V23+V24+V25+V26+V27+V28+V36+V37+V38+V39+V40+V54+V55+V56+V57+V58+V63+V64+V80+V81+V91+V96+V97+V98+V99+V101+V102+V103+V104+V105+V106+V111+V116+V117+V125+V126+V127+V131+V132+V133+V136+V139+V145+V149+V150+V151+V158+V159+V160+V161+V162+V164+V165+V167+V168+V169+V170</f>
        <v>5285487</v>
      </c>
      <c r="W190" s="259"/>
    </row>
    <row r="191" spans="2:23" ht="14.25" customHeight="1">
      <c r="B191" t="s">
        <v>227</v>
      </c>
      <c r="V191" s="259"/>
      <c r="W191" s="259"/>
    </row>
    <row r="192" spans="22:23" ht="14.25" customHeight="1">
      <c r="V192" s="259"/>
      <c r="W192" s="259"/>
    </row>
    <row r="193" spans="16:23" ht="12.75">
      <c r="P193" t="s">
        <v>176</v>
      </c>
      <c r="V193" s="259"/>
      <c r="W193" s="259"/>
    </row>
    <row r="194" spans="22:23" ht="12.75">
      <c r="V194" s="259"/>
      <c r="W194" s="259"/>
    </row>
    <row r="195" spans="22:23" ht="12.75">
      <c r="V195" s="259"/>
      <c r="W195" s="259"/>
    </row>
    <row r="196" spans="22:23" ht="12.75">
      <c r="V196" s="259"/>
      <c r="W196" s="259"/>
    </row>
    <row r="197" spans="22:23" ht="12.75">
      <c r="V197" s="259"/>
      <c r="W197" s="259"/>
    </row>
    <row r="198" spans="22:23" ht="12.75">
      <c r="V198" s="259"/>
      <c r="W198" s="259"/>
    </row>
    <row r="199" spans="22:23" ht="12.75">
      <c r="V199" s="259"/>
      <c r="W199" s="259"/>
    </row>
  </sheetData>
  <mergeCells count="28">
    <mergeCell ref="U6:U9"/>
    <mergeCell ref="C1:V2"/>
    <mergeCell ref="B190:E190"/>
    <mergeCell ref="B189:E189"/>
    <mergeCell ref="B188:E188"/>
    <mergeCell ref="B187:E187"/>
    <mergeCell ref="B186:E186"/>
    <mergeCell ref="B185:E185"/>
    <mergeCell ref="B184:E184"/>
    <mergeCell ref="V6:V9"/>
    <mergeCell ref="F7:F9"/>
    <mergeCell ref="G7:G9"/>
    <mergeCell ref="H7:H9"/>
    <mergeCell ref="K7:K9"/>
    <mergeCell ref="L7:L9"/>
    <mergeCell ref="N7:N9"/>
    <mergeCell ref="O7:O9"/>
    <mergeCell ref="I8:I9"/>
    <mergeCell ref="T6:T9"/>
    <mergeCell ref="A6:A9"/>
    <mergeCell ref="B6:B8"/>
    <mergeCell ref="C6:E8"/>
    <mergeCell ref="M6:M9"/>
    <mergeCell ref="N6:O6"/>
    <mergeCell ref="P6:P9"/>
    <mergeCell ref="Q6:Q9"/>
    <mergeCell ref="R6:R9"/>
    <mergeCell ref="S6:S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520"/>
  <sheetViews>
    <sheetView zoomScaleSheetLayoutView="75" workbookViewId="0" topLeftCell="A1">
      <selection activeCell="O1" sqref="O1:Q1"/>
    </sheetView>
  </sheetViews>
  <sheetFormatPr defaultColWidth="9.00390625" defaultRowHeight="12.75"/>
  <cols>
    <col min="1" max="1" width="8.875" style="0" customWidth="1"/>
    <col min="2" max="2" width="7.25390625" style="0" customWidth="1"/>
    <col min="3" max="3" width="33.125" style="0" customWidth="1"/>
    <col min="4" max="4" width="13.25390625" style="0" hidden="1" customWidth="1"/>
    <col min="5" max="5" width="14.625" style="0" hidden="1" customWidth="1"/>
    <col min="6" max="6" width="12.00390625" style="0" hidden="1" customWidth="1"/>
    <col min="7" max="7" width="5.625" style="0" hidden="1" customWidth="1"/>
    <col min="8" max="8" width="14.625" style="0" hidden="1" customWidth="1"/>
    <col min="9" max="9" width="12.625" style="0" hidden="1" customWidth="1"/>
    <col min="10" max="10" width="12.75390625" style="0" hidden="1" customWidth="1"/>
    <col min="11" max="11" width="12.75390625" style="0" customWidth="1"/>
    <col min="12" max="12" width="11.625" style="0" customWidth="1"/>
    <col min="13" max="13" width="10.875" style="0" customWidth="1"/>
    <col min="14" max="14" width="13.25390625" style="0" customWidth="1"/>
    <col min="15" max="15" width="12.875" style="0" customWidth="1"/>
    <col min="16" max="16" width="13.00390625" style="0" customWidth="1"/>
    <col min="17" max="17" width="13.125" style="0" customWidth="1"/>
  </cols>
  <sheetData>
    <row r="1" spans="1:17" s="168" customFormat="1" ht="21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 s="553" t="s">
        <v>770</v>
      </c>
      <c r="P1" s="553"/>
      <c r="Q1" s="553"/>
    </row>
    <row r="2" spans="1:26" s="168" customFormat="1" ht="15.75" thickBot="1">
      <c r="A2"/>
      <c r="B2" s="555" t="s">
        <v>725</v>
      </c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305"/>
      <c r="S2" s="305"/>
      <c r="T2" s="305"/>
      <c r="U2" s="305"/>
      <c r="V2" s="554"/>
      <c r="W2" s="554"/>
      <c r="X2" s="554"/>
      <c r="Y2" s="554"/>
      <c r="Z2" s="554"/>
    </row>
    <row r="3" spans="1:17" s="168" customFormat="1" ht="19.5" customHeight="1" hidden="1" thickBot="1">
      <c r="A3"/>
      <c r="B3" s="9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</row>
    <row r="4" spans="1:17" s="168" customFormat="1" ht="10.5" customHeight="1" thickBot="1">
      <c r="A4" s="575" t="s">
        <v>205</v>
      </c>
      <c r="B4" s="573" t="s">
        <v>206</v>
      </c>
      <c r="C4" s="581" t="s">
        <v>207</v>
      </c>
      <c r="D4" s="127"/>
      <c r="E4" s="127"/>
      <c r="F4" s="127"/>
      <c r="G4" s="127"/>
      <c r="H4" s="581" t="s">
        <v>202</v>
      </c>
      <c r="I4" s="579" t="s">
        <v>86</v>
      </c>
      <c r="J4" s="580"/>
      <c r="K4" s="581" t="s">
        <v>60</v>
      </c>
      <c r="L4" s="581" t="s">
        <v>33</v>
      </c>
      <c r="M4" s="591" t="s">
        <v>34</v>
      </c>
      <c r="N4" s="581" t="s">
        <v>32</v>
      </c>
      <c r="O4" s="562" t="s">
        <v>212</v>
      </c>
      <c r="P4" s="563"/>
      <c r="Q4" s="564"/>
    </row>
    <row r="5" spans="1:17" s="168" customFormat="1" ht="9" customHeight="1">
      <c r="A5" s="576"/>
      <c r="B5" s="574"/>
      <c r="C5" s="582"/>
      <c r="D5" s="559" t="s">
        <v>208</v>
      </c>
      <c r="E5" s="557" t="s">
        <v>209</v>
      </c>
      <c r="F5" s="557" t="s">
        <v>210</v>
      </c>
      <c r="G5" s="584" t="s">
        <v>211</v>
      </c>
      <c r="H5" s="582"/>
      <c r="I5" s="561" t="s">
        <v>707</v>
      </c>
      <c r="J5" s="577" t="s">
        <v>708</v>
      </c>
      <c r="K5" s="582"/>
      <c r="L5" s="582"/>
      <c r="M5" s="592"/>
      <c r="N5" s="582"/>
      <c r="O5" s="565"/>
      <c r="P5" s="566"/>
      <c r="Q5" s="567"/>
    </row>
    <row r="6" spans="1:17" s="168" customFormat="1" ht="6.75" customHeight="1" thickBot="1">
      <c r="A6" s="576"/>
      <c r="B6" s="574"/>
      <c r="C6" s="582"/>
      <c r="D6" s="560"/>
      <c r="E6" s="557"/>
      <c r="F6" s="557"/>
      <c r="G6" s="584"/>
      <c r="H6" s="582"/>
      <c r="I6" s="590"/>
      <c r="J6" s="578"/>
      <c r="K6" s="582"/>
      <c r="L6" s="582"/>
      <c r="M6" s="592"/>
      <c r="N6" s="582"/>
      <c r="O6" s="568"/>
      <c r="P6" s="569"/>
      <c r="Q6" s="570"/>
    </row>
    <row r="7" spans="1:17" s="168" customFormat="1" ht="19.5" customHeight="1" thickBot="1">
      <c r="A7" s="576"/>
      <c r="B7" s="574"/>
      <c r="C7" s="582"/>
      <c r="D7" s="561"/>
      <c r="E7" s="558"/>
      <c r="F7" s="558"/>
      <c r="G7" s="585"/>
      <c r="H7" s="582"/>
      <c r="I7" s="590"/>
      <c r="J7" s="578"/>
      <c r="K7" s="588"/>
      <c r="L7" s="588"/>
      <c r="M7" s="593"/>
      <c r="N7" s="588"/>
      <c r="O7" s="140" t="s">
        <v>213</v>
      </c>
      <c r="P7" s="140" t="s">
        <v>741</v>
      </c>
      <c r="Q7" s="140" t="s">
        <v>214</v>
      </c>
    </row>
    <row r="8" spans="1:17" s="168" customFormat="1" ht="12" customHeight="1" thickBot="1">
      <c r="A8" s="109">
        <v>1</v>
      </c>
      <c r="B8" s="110">
        <v>2</v>
      </c>
      <c r="C8" s="111">
        <v>3</v>
      </c>
      <c r="D8" s="111">
        <v>4</v>
      </c>
      <c r="E8" s="111">
        <v>4</v>
      </c>
      <c r="F8" s="111">
        <v>5</v>
      </c>
      <c r="G8" s="111">
        <v>6</v>
      </c>
      <c r="H8" s="111">
        <v>5</v>
      </c>
      <c r="I8" s="111"/>
      <c r="J8" s="111"/>
      <c r="K8" s="132">
        <v>5</v>
      </c>
      <c r="L8" s="132">
        <v>6</v>
      </c>
      <c r="M8" s="132">
        <v>7</v>
      </c>
      <c r="N8" s="132">
        <v>8</v>
      </c>
      <c r="O8" s="58">
        <v>9</v>
      </c>
      <c r="P8" s="111">
        <v>10</v>
      </c>
      <c r="Q8" s="111">
        <v>11</v>
      </c>
    </row>
    <row r="9" spans="1:17" s="168" customFormat="1" ht="15" customHeight="1">
      <c r="A9" s="156" t="s">
        <v>215</v>
      </c>
      <c r="B9" s="586"/>
      <c r="C9" s="157" t="s">
        <v>217</v>
      </c>
      <c r="D9" s="157">
        <f>D10+D27</f>
        <v>303000</v>
      </c>
      <c r="E9" s="157">
        <f>E10+E27</f>
        <v>373400</v>
      </c>
      <c r="F9" s="157">
        <f>F10+F27</f>
        <v>0</v>
      </c>
      <c r="G9" s="157">
        <f>G10+G27</f>
        <v>0</v>
      </c>
      <c r="H9" s="157">
        <f>H10+H27+H25+H29</f>
        <v>91800</v>
      </c>
      <c r="I9" s="157">
        <f>I10+I27+I25+I29</f>
        <v>0</v>
      </c>
      <c r="J9" s="157">
        <f>J10+J27+J25+J29</f>
        <v>0</v>
      </c>
      <c r="K9" s="157">
        <f aca="true" t="shared" si="0" ref="K9:Q9">K27+K29</f>
        <v>31700</v>
      </c>
      <c r="L9" s="157">
        <f t="shared" si="0"/>
        <v>0</v>
      </c>
      <c r="M9" s="157">
        <f t="shared" si="0"/>
        <v>0</v>
      </c>
      <c r="N9" s="157">
        <f t="shared" si="0"/>
        <v>31700</v>
      </c>
      <c r="O9" s="157">
        <f t="shared" si="0"/>
        <v>30000</v>
      </c>
      <c r="P9" s="157">
        <f t="shared" si="0"/>
        <v>0</v>
      </c>
      <c r="Q9" s="157">
        <f t="shared" si="0"/>
        <v>1700</v>
      </c>
    </row>
    <row r="10" spans="1:17" s="168" customFormat="1" ht="17.25" customHeight="1" hidden="1">
      <c r="A10" s="13" t="s">
        <v>218</v>
      </c>
      <c r="B10" s="587"/>
      <c r="C10" s="6" t="s">
        <v>219</v>
      </c>
      <c r="D10" s="6">
        <f>D13+D14+D15+D16+D24</f>
        <v>303000</v>
      </c>
      <c r="E10" s="6">
        <f>E12+E13+E14+E15+E16+E17+E18+E19+E21+E22+E24+E11</f>
        <v>336000</v>
      </c>
      <c r="F10" s="6">
        <f>F12+F13+F14+F15+F16+F17+F18+F19+F21+F22+F11</f>
        <v>0</v>
      </c>
      <c r="G10" s="6">
        <f>G12+G13+G14+G15+G16+G17+G18+G19+G21+G22+G24+G11</f>
        <v>0</v>
      </c>
      <c r="H10" s="6">
        <f>H12+H13+H14+H15+H16+H17+H18+H19+H21+H22+H24+H11+H20+H23</f>
        <v>45600</v>
      </c>
      <c r="I10" s="6">
        <f>I12+I13+I14+I15+I16+I17+I18+I19+I21+I22+I24+I11+I20+I23</f>
        <v>0</v>
      </c>
      <c r="J10" s="6">
        <f>J12+J13+J14+J15+J16+J17+J18+J19+J21+J22+J24+J11+J20+J23</f>
        <v>0</v>
      </c>
      <c r="K10" s="6">
        <f>K12+K13+K14+K15+K16+K17+K18+K19+K21+K22+K24+K11+K20+K23</f>
        <v>0</v>
      </c>
      <c r="L10" s="6"/>
      <c r="M10" s="6"/>
      <c r="N10" s="6"/>
      <c r="O10" s="6" t="e">
        <f>O11+O12+O13+O14+O15+O16+O17+O18+O19+O21+O22+O24+O23+O20</f>
        <v>#REF!</v>
      </c>
      <c r="P10" s="15">
        <f>P11+P12+P13+P14+P15+P16+P17+P18+P19+P21+P22+P24</f>
        <v>0</v>
      </c>
      <c r="Q10" s="15">
        <f>Q11+Q12+Q13+Q14+Q15+Q16+Q17+Q18+Q19+Q21+Q22+Q24</f>
        <v>0</v>
      </c>
    </row>
    <row r="11" spans="1:17" s="168" customFormat="1" ht="12" customHeight="1" hidden="1">
      <c r="A11" s="13"/>
      <c r="B11" s="14" t="s">
        <v>220</v>
      </c>
      <c r="C11" s="16" t="s">
        <v>234</v>
      </c>
      <c r="D11" s="16"/>
      <c r="E11" s="16">
        <v>4100</v>
      </c>
      <c r="F11" s="16">
        <v>0</v>
      </c>
      <c r="G11" s="16">
        <v>0</v>
      </c>
      <c r="H11" s="16"/>
      <c r="I11" s="16"/>
      <c r="J11" s="16"/>
      <c r="K11" s="16"/>
      <c r="L11" s="16"/>
      <c r="M11" s="16"/>
      <c r="N11" s="16"/>
      <c r="O11" s="16"/>
      <c r="P11" s="17"/>
      <c r="Q11" s="17"/>
    </row>
    <row r="12" spans="1:17" s="168" customFormat="1" ht="14.25" customHeight="1" hidden="1">
      <c r="A12" s="13"/>
      <c r="B12" s="14" t="s">
        <v>235</v>
      </c>
      <c r="C12" s="18" t="s">
        <v>236</v>
      </c>
      <c r="D12" s="16"/>
      <c r="E12" s="16">
        <v>1760</v>
      </c>
      <c r="F12" s="16">
        <v>0</v>
      </c>
      <c r="G12" s="16">
        <v>0</v>
      </c>
      <c r="H12" s="16"/>
      <c r="I12" s="16"/>
      <c r="J12" s="16"/>
      <c r="K12" s="16"/>
      <c r="L12" s="16"/>
      <c r="M12" s="16"/>
      <c r="N12" s="16"/>
      <c r="O12" s="16"/>
      <c r="P12" s="17"/>
      <c r="Q12" s="17"/>
    </row>
    <row r="13" spans="1:17" s="168" customFormat="1" ht="0.75" customHeight="1" hidden="1">
      <c r="A13" s="583"/>
      <c r="B13" s="14" t="s">
        <v>237</v>
      </c>
      <c r="C13" s="8" t="s">
        <v>164</v>
      </c>
      <c r="D13" s="7">
        <v>70035</v>
      </c>
      <c r="E13" s="7">
        <v>72840</v>
      </c>
      <c r="F13" s="7">
        <v>0</v>
      </c>
      <c r="G13" s="7">
        <v>0</v>
      </c>
      <c r="H13" s="7">
        <v>14972</v>
      </c>
      <c r="I13" s="7">
        <v>0</v>
      </c>
      <c r="J13" s="7">
        <v>0</v>
      </c>
      <c r="K13" s="7">
        <v>0</v>
      </c>
      <c r="L13" s="7"/>
      <c r="M13" s="7"/>
      <c r="N13" s="7"/>
      <c r="O13" s="7">
        <f aca="true" t="shared" si="1" ref="O13:O22">N13</f>
        <v>0</v>
      </c>
      <c r="P13" s="20">
        <v>0</v>
      </c>
      <c r="Q13" s="20">
        <v>0</v>
      </c>
    </row>
    <row r="14" spans="1:17" s="168" customFormat="1" ht="26.25" customHeight="1" hidden="1">
      <c r="A14" s="583"/>
      <c r="B14" s="14" t="s">
        <v>239</v>
      </c>
      <c r="C14" s="8" t="s">
        <v>240</v>
      </c>
      <c r="D14" s="7">
        <v>149465</v>
      </c>
      <c r="E14" s="7">
        <v>158968</v>
      </c>
      <c r="F14" s="7">
        <v>0</v>
      </c>
      <c r="G14" s="7">
        <v>0</v>
      </c>
      <c r="H14" s="7">
        <v>19680</v>
      </c>
      <c r="I14" s="7">
        <v>0</v>
      </c>
      <c r="J14" s="7">
        <v>0</v>
      </c>
      <c r="K14" s="7">
        <v>0</v>
      </c>
      <c r="L14" s="7"/>
      <c r="M14" s="7"/>
      <c r="N14" s="7"/>
      <c r="O14" s="7">
        <f t="shared" si="1"/>
        <v>0</v>
      </c>
      <c r="P14" s="20">
        <v>0</v>
      </c>
      <c r="Q14" s="20">
        <v>0</v>
      </c>
    </row>
    <row r="15" spans="1:17" s="168" customFormat="1" ht="18" customHeight="1" hidden="1">
      <c r="A15" s="583"/>
      <c r="B15" s="14" t="s">
        <v>241</v>
      </c>
      <c r="C15" s="8" t="s">
        <v>242</v>
      </c>
      <c r="D15" s="7">
        <v>16347</v>
      </c>
      <c r="E15" s="7">
        <v>17570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/>
      <c r="L15" s="7"/>
      <c r="M15" s="7"/>
      <c r="N15" s="7"/>
      <c r="O15" s="7">
        <f t="shared" si="1"/>
        <v>0</v>
      </c>
      <c r="P15" s="20">
        <v>0</v>
      </c>
      <c r="Q15" s="20">
        <v>0</v>
      </c>
    </row>
    <row r="16" spans="1:17" s="168" customFormat="1" ht="13.5" customHeight="1" hidden="1">
      <c r="A16" s="583"/>
      <c r="B16" s="21" t="s">
        <v>243</v>
      </c>
      <c r="C16" s="8" t="s">
        <v>244</v>
      </c>
      <c r="D16" s="7">
        <v>45328</v>
      </c>
      <c r="E16" s="7">
        <v>39440</v>
      </c>
      <c r="F16" s="7">
        <v>0</v>
      </c>
      <c r="G16" s="7">
        <v>0</v>
      </c>
      <c r="H16" s="7">
        <v>6303</v>
      </c>
      <c r="I16" s="7">
        <v>0</v>
      </c>
      <c r="J16" s="7">
        <v>0</v>
      </c>
      <c r="K16" s="7">
        <v>0</v>
      </c>
      <c r="L16" s="7"/>
      <c r="M16" s="7"/>
      <c r="N16" s="7"/>
      <c r="O16" s="7">
        <f t="shared" si="1"/>
        <v>0</v>
      </c>
      <c r="P16" s="20">
        <v>0</v>
      </c>
      <c r="Q16" s="20">
        <v>0</v>
      </c>
    </row>
    <row r="17" spans="1:17" s="168" customFormat="1" ht="13.5" customHeight="1" hidden="1">
      <c r="A17" s="583"/>
      <c r="B17" s="21" t="s">
        <v>245</v>
      </c>
      <c r="C17" s="8" t="s">
        <v>246</v>
      </c>
      <c r="D17" s="7"/>
      <c r="E17" s="7">
        <v>5404</v>
      </c>
      <c r="F17" s="7">
        <v>0</v>
      </c>
      <c r="G17" s="7">
        <v>0</v>
      </c>
      <c r="H17" s="7">
        <v>849</v>
      </c>
      <c r="I17" s="7">
        <v>0</v>
      </c>
      <c r="J17" s="7">
        <v>0</v>
      </c>
      <c r="K17" s="7">
        <v>0</v>
      </c>
      <c r="L17" s="7"/>
      <c r="M17" s="7"/>
      <c r="N17" s="7"/>
      <c r="O17" s="7">
        <f t="shared" si="1"/>
        <v>0</v>
      </c>
      <c r="P17" s="20">
        <v>0</v>
      </c>
      <c r="Q17" s="20">
        <v>0</v>
      </c>
    </row>
    <row r="18" spans="1:17" s="168" customFormat="1" ht="13.5" customHeight="1" hidden="1">
      <c r="A18" s="583"/>
      <c r="B18" s="21" t="s">
        <v>247</v>
      </c>
      <c r="C18" s="8" t="s">
        <v>248</v>
      </c>
      <c r="D18" s="7"/>
      <c r="E18" s="7">
        <v>14688</v>
      </c>
      <c r="F18" s="7">
        <v>0</v>
      </c>
      <c r="G18" s="7">
        <v>0</v>
      </c>
      <c r="H18" s="7">
        <v>2134</v>
      </c>
      <c r="I18" s="7">
        <v>0</v>
      </c>
      <c r="J18" s="7">
        <v>0</v>
      </c>
      <c r="K18" s="7">
        <v>0</v>
      </c>
      <c r="L18" s="7"/>
      <c r="M18" s="7"/>
      <c r="N18" s="7"/>
      <c r="O18" s="7">
        <f t="shared" si="1"/>
        <v>0</v>
      </c>
      <c r="P18" s="20">
        <v>0</v>
      </c>
      <c r="Q18" s="20">
        <v>0</v>
      </c>
    </row>
    <row r="19" spans="1:17" s="168" customFormat="1" ht="0.75" customHeight="1" hidden="1">
      <c r="A19" s="583"/>
      <c r="B19" s="21" t="s">
        <v>249</v>
      </c>
      <c r="C19" s="8" t="s">
        <v>250</v>
      </c>
      <c r="D19" s="7"/>
      <c r="E19" s="7">
        <v>950</v>
      </c>
      <c r="F19" s="7">
        <v>0</v>
      </c>
      <c r="G19" s="7">
        <v>0</v>
      </c>
      <c r="H19" s="7">
        <v>714</v>
      </c>
      <c r="I19" s="7">
        <v>0</v>
      </c>
      <c r="J19" s="7">
        <v>0</v>
      </c>
      <c r="K19" s="7">
        <v>0</v>
      </c>
      <c r="L19" s="7"/>
      <c r="M19" s="7"/>
      <c r="N19" s="7"/>
      <c r="O19" s="7">
        <f t="shared" si="1"/>
        <v>0</v>
      </c>
      <c r="P19" s="20">
        <v>0</v>
      </c>
      <c r="Q19" s="20">
        <v>0</v>
      </c>
    </row>
    <row r="20" spans="1:17" s="168" customFormat="1" ht="15" customHeight="1" hidden="1">
      <c r="A20" s="583"/>
      <c r="B20" s="21" t="s">
        <v>251</v>
      </c>
      <c r="C20" s="8" t="s">
        <v>252</v>
      </c>
      <c r="D20" s="7"/>
      <c r="E20" s="7"/>
      <c r="F20" s="7"/>
      <c r="G20" s="7"/>
      <c r="H20" s="7">
        <v>0</v>
      </c>
      <c r="I20" s="7">
        <v>0</v>
      </c>
      <c r="J20" s="7">
        <v>0</v>
      </c>
      <c r="K20" s="7"/>
      <c r="L20" s="7"/>
      <c r="M20" s="7"/>
      <c r="N20" s="7"/>
      <c r="O20" s="7">
        <f t="shared" si="1"/>
        <v>0</v>
      </c>
      <c r="P20" s="20">
        <v>0</v>
      </c>
      <c r="Q20" s="20">
        <v>0</v>
      </c>
    </row>
    <row r="21" spans="1:17" s="168" customFormat="1" ht="15.75" customHeight="1" hidden="1">
      <c r="A21" s="583"/>
      <c r="B21" s="21" t="s">
        <v>253</v>
      </c>
      <c r="C21" s="8" t="s">
        <v>254</v>
      </c>
      <c r="D21" s="7"/>
      <c r="E21" s="7">
        <v>15626</v>
      </c>
      <c r="F21" s="7">
        <v>0</v>
      </c>
      <c r="G21" s="7">
        <v>0</v>
      </c>
      <c r="H21" s="7">
        <v>779</v>
      </c>
      <c r="I21" s="7">
        <v>0</v>
      </c>
      <c r="J21" s="7">
        <v>0</v>
      </c>
      <c r="K21" s="7">
        <v>0</v>
      </c>
      <c r="L21" s="7"/>
      <c r="M21" s="7"/>
      <c r="N21" s="7"/>
      <c r="O21" s="7">
        <f t="shared" si="1"/>
        <v>0</v>
      </c>
      <c r="P21" s="20">
        <v>0</v>
      </c>
      <c r="Q21" s="20">
        <v>0</v>
      </c>
    </row>
    <row r="22" spans="1:17" s="168" customFormat="1" ht="16.5" customHeight="1" hidden="1">
      <c r="A22" s="583"/>
      <c r="B22" s="21" t="s">
        <v>255</v>
      </c>
      <c r="C22" s="8" t="s">
        <v>256</v>
      </c>
      <c r="D22" s="7"/>
      <c r="E22" s="7">
        <v>0</v>
      </c>
      <c r="F22" s="7">
        <v>0</v>
      </c>
      <c r="G22" s="7">
        <v>0</v>
      </c>
      <c r="H22" s="7">
        <v>169</v>
      </c>
      <c r="I22" s="7">
        <v>0</v>
      </c>
      <c r="J22" s="7">
        <v>0</v>
      </c>
      <c r="K22" s="7">
        <v>0</v>
      </c>
      <c r="L22" s="7"/>
      <c r="M22" s="7"/>
      <c r="N22" s="7"/>
      <c r="O22" s="7">
        <f t="shared" si="1"/>
        <v>0</v>
      </c>
      <c r="P22" s="20">
        <v>0</v>
      </c>
      <c r="Q22" s="20">
        <v>0</v>
      </c>
    </row>
    <row r="23" spans="1:17" s="168" customFormat="1" ht="16.5" customHeight="1" hidden="1">
      <c r="A23" s="583"/>
      <c r="B23" s="21" t="s">
        <v>257</v>
      </c>
      <c r="C23" s="8" t="s">
        <v>258</v>
      </c>
      <c r="D23" s="7"/>
      <c r="E23" s="7"/>
      <c r="F23" s="7"/>
      <c r="G23" s="7"/>
      <c r="H23" s="7">
        <v>0</v>
      </c>
      <c r="I23" s="7">
        <v>0</v>
      </c>
      <c r="J23" s="7">
        <v>0</v>
      </c>
      <c r="K23" s="7"/>
      <c r="L23" s="7"/>
      <c r="M23" s="7"/>
      <c r="N23" s="7"/>
      <c r="O23" s="7" t="e">
        <f>#REF!</f>
        <v>#REF!</v>
      </c>
      <c r="P23" s="20">
        <v>0</v>
      </c>
      <c r="Q23" s="20">
        <v>0</v>
      </c>
    </row>
    <row r="24" spans="1:17" s="168" customFormat="1" ht="16.5" customHeight="1" hidden="1">
      <c r="A24" s="583"/>
      <c r="B24" s="14" t="s">
        <v>259</v>
      </c>
      <c r="C24" s="7" t="s">
        <v>260</v>
      </c>
      <c r="D24" s="7">
        <v>21825</v>
      </c>
      <c r="E24" s="7">
        <v>4654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/>
      <c r="L24" s="7"/>
      <c r="M24" s="7"/>
      <c r="N24" s="7"/>
      <c r="O24" s="7" t="e">
        <f>#REF!</f>
        <v>#REF!</v>
      </c>
      <c r="P24" s="20">
        <v>0</v>
      </c>
      <c r="Q24" s="20">
        <v>0</v>
      </c>
    </row>
    <row r="25" spans="1:17" s="168" customFormat="1" ht="27.75" customHeight="1" hidden="1">
      <c r="A25" s="22" t="s">
        <v>114</v>
      </c>
      <c r="B25" s="23"/>
      <c r="C25" s="3" t="s">
        <v>115</v>
      </c>
      <c r="D25" s="6"/>
      <c r="E25" s="6"/>
      <c r="F25" s="6"/>
      <c r="G25" s="6"/>
      <c r="H25" s="6">
        <f aca="true" t="shared" si="2" ref="H25:Q25">H26</f>
        <v>0</v>
      </c>
      <c r="I25" s="6">
        <f t="shared" si="2"/>
        <v>0</v>
      </c>
      <c r="J25" s="6">
        <f t="shared" si="2"/>
        <v>0</v>
      </c>
      <c r="K25" s="6"/>
      <c r="L25" s="6"/>
      <c r="M25" s="6"/>
      <c r="N25" s="6"/>
      <c r="O25" s="6" t="e">
        <f t="shared" si="2"/>
        <v>#REF!</v>
      </c>
      <c r="P25" s="6">
        <f t="shared" si="2"/>
        <v>0</v>
      </c>
      <c r="Q25" s="6">
        <f t="shared" si="2"/>
        <v>0</v>
      </c>
    </row>
    <row r="26" spans="1:17" s="168" customFormat="1" ht="18.75" customHeight="1" hidden="1">
      <c r="A26" s="22"/>
      <c r="B26" s="27" t="s">
        <v>247</v>
      </c>
      <c r="C26" s="25" t="s">
        <v>248</v>
      </c>
      <c r="D26" s="16"/>
      <c r="E26" s="16"/>
      <c r="F26" s="16"/>
      <c r="G26" s="16"/>
      <c r="H26" s="16">
        <v>0</v>
      </c>
      <c r="I26" s="16">
        <v>0</v>
      </c>
      <c r="J26" s="16">
        <v>0</v>
      </c>
      <c r="K26" s="16"/>
      <c r="L26" s="16"/>
      <c r="M26" s="16"/>
      <c r="N26" s="16"/>
      <c r="O26" s="16" t="e">
        <f>#REF!</f>
        <v>#REF!</v>
      </c>
      <c r="P26" s="20">
        <v>0</v>
      </c>
      <c r="Q26" s="20">
        <v>0</v>
      </c>
    </row>
    <row r="27" spans="1:17" s="168" customFormat="1" ht="21" customHeight="1">
      <c r="A27" s="183" t="s">
        <v>261</v>
      </c>
      <c r="B27" s="192"/>
      <c r="C27" s="193" t="s">
        <v>690</v>
      </c>
      <c r="D27" s="154">
        <f aca="true" t="shared" si="3" ref="D27:Q27">D28</f>
        <v>0</v>
      </c>
      <c r="E27" s="154">
        <f t="shared" si="3"/>
        <v>37400</v>
      </c>
      <c r="F27" s="154">
        <f t="shared" si="3"/>
        <v>0</v>
      </c>
      <c r="G27" s="154">
        <f t="shared" si="3"/>
        <v>0</v>
      </c>
      <c r="H27" s="154">
        <f t="shared" si="3"/>
        <v>45000</v>
      </c>
      <c r="I27" s="154">
        <f t="shared" si="3"/>
        <v>0</v>
      </c>
      <c r="J27" s="154">
        <f t="shared" si="3"/>
        <v>0</v>
      </c>
      <c r="K27" s="154">
        <f>K28</f>
        <v>30000</v>
      </c>
      <c r="L27" s="154">
        <f>L28</f>
        <v>0</v>
      </c>
      <c r="M27" s="154">
        <f>M28</f>
        <v>0</v>
      </c>
      <c r="N27" s="154">
        <f>N28</f>
        <v>30000</v>
      </c>
      <c r="O27" s="154">
        <f t="shared" si="3"/>
        <v>30000</v>
      </c>
      <c r="P27" s="152">
        <f t="shared" si="3"/>
        <v>0</v>
      </c>
      <c r="Q27" s="152">
        <f t="shared" si="3"/>
        <v>0</v>
      </c>
    </row>
    <row r="28" spans="1:17" s="168" customFormat="1" ht="15.75" customHeight="1">
      <c r="A28" s="19"/>
      <c r="B28" s="14" t="s">
        <v>253</v>
      </c>
      <c r="C28" s="282" t="s">
        <v>254</v>
      </c>
      <c r="D28" s="7">
        <v>0</v>
      </c>
      <c r="E28" s="7">
        <v>37400</v>
      </c>
      <c r="F28" s="7">
        <v>0</v>
      </c>
      <c r="G28" s="7">
        <v>0</v>
      </c>
      <c r="H28" s="7">
        <v>45000</v>
      </c>
      <c r="I28" s="7">
        <v>0</v>
      </c>
      <c r="J28" s="7">
        <v>0</v>
      </c>
      <c r="K28" s="7">
        <v>30000</v>
      </c>
      <c r="L28" s="7"/>
      <c r="M28" s="7"/>
      <c r="N28" s="7">
        <f>K28+L28-M28</f>
        <v>30000</v>
      </c>
      <c r="O28" s="7">
        <f>N28</f>
        <v>30000</v>
      </c>
      <c r="P28" s="20">
        <v>0</v>
      </c>
      <c r="Q28" s="20">
        <v>0</v>
      </c>
    </row>
    <row r="29" spans="1:17" s="168" customFormat="1" ht="15.75" customHeight="1">
      <c r="A29" s="183" t="s">
        <v>718</v>
      </c>
      <c r="B29" s="192"/>
      <c r="C29" s="182" t="s">
        <v>315</v>
      </c>
      <c r="D29" s="154"/>
      <c r="E29" s="154"/>
      <c r="F29" s="154"/>
      <c r="G29" s="154"/>
      <c r="H29" s="154">
        <f aca="true" t="shared" si="4" ref="H29:Q29">H30</f>
        <v>1200</v>
      </c>
      <c r="I29" s="154">
        <f t="shared" si="4"/>
        <v>0</v>
      </c>
      <c r="J29" s="154">
        <f t="shared" si="4"/>
        <v>0</v>
      </c>
      <c r="K29" s="154">
        <f>K30</f>
        <v>1700</v>
      </c>
      <c r="L29" s="154">
        <f>L30</f>
        <v>0</v>
      </c>
      <c r="M29" s="154">
        <f>M30</f>
        <v>0</v>
      </c>
      <c r="N29" s="154">
        <f aca="true" t="shared" si="5" ref="N29:N86">K29+L29-M29</f>
        <v>1700</v>
      </c>
      <c r="O29" s="154">
        <f t="shared" si="4"/>
        <v>0</v>
      </c>
      <c r="P29" s="154">
        <f t="shared" si="4"/>
        <v>0</v>
      </c>
      <c r="Q29" s="154">
        <f t="shared" si="4"/>
        <v>1700</v>
      </c>
    </row>
    <row r="30" spans="1:17" s="168" customFormat="1" ht="22.5" customHeight="1">
      <c r="A30" s="19"/>
      <c r="B30" s="14" t="s">
        <v>305</v>
      </c>
      <c r="C30" s="282" t="s">
        <v>159</v>
      </c>
      <c r="D30" s="7"/>
      <c r="E30" s="7"/>
      <c r="F30" s="7"/>
      <c r="G30" s="7"/>
      <c r="H30" s="7">
        <v>1200</v>
      </c>
      <c r="I30" s="7">
        <v>0</v>
      </c>
      <c r="J30" s="7">
        <v>0</v>
      </c>
      <c r="K30" s="7">
        <v>1700</v>
      </c>
      <c r="L30" s="7"/>
      <c r="M30" s="7"/>
      <c r="N30" s="7">
        <f t="shared" si="5"/>
        <v>1700</v>
      </c>
      <c r="O30" s="7">
        <v>0</v>
      </c>
      <c r="P30" s="20">
        <v>0</v>
      </c>
      <c r="Q30" s="20">
        <f>N30</f>
        <v>1700</v>
      </c>
    </row>
    <row r="31" spans="1:17" s="168" customFormat="1" ht="15" customHeight="1">
      <c r="A31" s="158" t="s">
        <v>262</v>
      </c>
      <c r="B31" s="587"/>
      <c r="C31" s="159" t="s">
        <v>263</v>
      </c>
      <c r="D31" s="159">
        <f aca="true" t="shared" si="6" ref="D31:G32">D32</f>
        <v>29992</v>
      </c>
      <c r="E31" s="159">
        <f t="shared" si="6"/>
        <v>21000</v>
      </c>
      <c r="F31" s="159">
        <f t="shared" si="6"/>
        <v>0</v>
      </c>
      <c r="G31" s="159">
        <f t="shared" si="6"/>
        <v>0</v>
      </c>
      <c r="H31" s="159">
        <f aca="true" t="shared" si="7" ref="H31:Q31">H32+H34</f>
        <v>94025</v>
      </c>
      <c r="I31" s="159">
        <f t="shared" si="7"/>
        <v>0</v>
      </c>
      <c r="J31" s="159">
        <f t="shared" si="7"/>
        <v>0</v>
      </c>
      <c r="K31" s="159">
        <f>K32+K34</f>
        <v>153909</v>
      </c>
      <c r="L31" s="159">
        <f>L32+L34</f>
        <v>0</v>
      </c>
      <c r="M31" s="159">
        <f>M32+M34</f>
        <v>0</v>
      </c>
      <c r="N31" s="159">
        <f t="shared" si="5"/>
        <v>153909</v>
      </c>
      <c r="O31" s="159">
        <f t="shared" si="7"/>
        <v>0</v>
      </c>
      <c r="P31" s="159">
        <f t="shared" si="7"/>
        <v>153909</v>
      </c>
      <c r="Q31" s="159">
        <f t="shared" si="7"/>
        <v>0</v>
      </c>
    </row>
    <row r="32" spans="1:17" s="168" customFormat="1" ht="13.5" customHeight="1">
      <c r="A32" s="13" t="s">
        <v>119</v>
      </c>
      <c r="B32" s="587"/>
      <c r="C32" s="154" t="s">
        <v>118</v>
      </c>
      <c r="D32" s="154">
        <f t="shared" si="6"/>
        <v>29992</v>
      </c>
      <c r="E32" s="154">
        <f t="shared" si="6"/>
        <v>21000</v>
      </c>
      <c r="F32" s="154">
        <f t="shared" si="6"/>
        <v>0</v>
      </c>
      <c r="G32" s="154">
        <f t="shared" si="6"/>
        <v>0</v>
      </c>
      <c r="H32" s="154">
        <f aca="true" t="shared" si="8" ref="H32:P32">H33</f>
        <v>83025</v>
      </c>
      <c r="I32" s="154">
        <f t="shared" si="8"/>
        <v>0</v>
      </c>
      <c r="J32" s="154">
        <f t="shared" si="8"/>
        <v>0</v>
      </c>
      <c r="K32" s="154">
        <f>K33</f>
        <v>141159</v>
      </c>
      <c r="L32" s="154">
        <f>L33</f>
        <v>0</v>
      </c>
      <c r="M32" s="154">
        <f>M33</f>
        <v>0</v>
      </c>
      <c r="N32" s="154">
        <f t="shared" si="5"/>
        <v>141159</v>
      </c>
      <c r="O32" s="154">
        <f t="shared" si="8"/>
        <v>0</v>
      </c>
      <c r="P32" s="152">
        <f t="shared" si="8"/>
        <v>141159</v>
      </c>
      <c r="Q32" s="152">
        <f>Q33</f>
        <v>0</v>
      </c>
    </row>
    <row r="33" spans="1:17" s="168" customFormat="1" ht="15" customHeight="1">
      <c r="A33" s="24"/>
      <c r="B33" s="14" t="s">
        <v>235</v>
      </c>
      <c r="C33" s="236" t="s">
        <v>308</v>
      </c>
      <c r="D33" s="7">
        <v>29992</v>
      </c>
      <c r="E33" s="7">
        <v>21000</v>
      </c>
      <c r="F33" s="7">
        <v>0</v>
      </c>
      <c r="G33" s="7">
        <v>0</v>
      </c>
      <c r="H33" s="7">
        <v>83025</v>
      </c>
      <c r="I33" s="7">
        <v>0</v>
      </c>
      <c r="J33" s="7">
        <v>0</v>
      </c>
      <c r="K33" s="7">
        <v>141159</v>
      </c>
      <c r="L33" s="7"/>
      <c r="M33" s="7"/>
      <c r="N33" s="7">
        <f t="shared" si="5"/>
        <v>141159</v>
      </c>
      <c r="O33" s="7">
        <v>0</v>
      </c>
      <c r="P33" s="20">
        <f>N33</f>
        <v>141159</v>
      </c>
      <c r="Q33" s="20">
        <v>0</v>
      </c>
    </row>
    <row r="34" spans="1:17" s="168" customFormat="1" ht="16.5" customHeight="1">
      <c r="A34" s="181" t="s">
        <v>264</v>
      </c>
      <c r="B34" s="289"/>
      <c r="C34" s="154" t="s">
        <v>265</v>
      </c>
      <c r="D34" s="288"/>
      <c r="E34" s="288"/>
      <c r="F34" s="288"/>
      <c r="G34" s="288"/>
      <c r="H34" s="154">
        <f aca="true" t="shared" si="9" ref="H34:Q34">H36+H35</f>
        <v>11000</v>
      </c>
      <c r="I34" s="154">
        <f t="shared" si="9"/>
        <v>0</v>
      </c>
      <c r="J34" s="154">
        <f t="shared" si="9"/>
        <v>0</v>
      </c>
      <c r="K34" s="154">
        <f>K36+K35</f>
        <v>12750</v>
      </c>
      <c r="L34" s="154">
        <f>L36+L35</f>
        <v>0</v>
      </c>
      <c r="M34" s="154">
        <f>M36+M35</f>
        <v>0</v>
      </c>
      <c r="N34" s="154">
        <f t="shared" si="5"/>
        <v>12750</v>
      </c>
      <c r="O34" s="154">
        <f t="shared" si="9"/>
        <v>0</v>
      </c>
      <c r="P34" s="154">
        <f t="shared" si="9"/>
        <v>12750</v>
      </c>
      <c r="Q34" s="154">
        <f t="shared" si="9"/>
        <v>0</v>
      </c>
    </row>
    <row r="35" spans="1:17" s="168" customFormat="1" ht="13.5" customHeight="1">
      <c r="A35" s="13"/>
      <c r="B35" s="14" t="s">
        <v>247</v>
      </c>
      <c r="C35" s="236" t="s">
        <v>248</v>
      </c>
      <c r="D35" s="16"/>
      <c r="E35" s="16"/>
      <c r="F35" s="16"/>
      <c r="G35" s="16"/>
      <c r="H35" s="16">
        <v>942</v>
      </c>
      <c r="I35" s="7">
        <v>0</v>
      </c>
      <c r="J35" s="7">
        <v>0</v>
      </c>
      <c r="K35" s="7">
        <v>0</v>
      </c>
      <c r="L35" s="7"/>
      <c r="M35" s="7"/>
      <c r="N35" s="7">
        <f t="shared" si="5"/>
        <v>0</v>
      </c>
      <c r="O35" s="16">
        <v>0</v>
      </c>
      <c r="P35" s="16">
        <f>K35</f>
        <v>0</v>
      </c>
      <c r="Q35" s="16">
        <v>0</v>
      </c>
    </row>
    <row r="36" spans="1:17" s="168" customFormat="1" ht="14.25" customHeight="1">
      <c r="A36" s="24"/>
      <c r="B36" s="14" t="s">
        <v>253</v>
      </c>
      <c r="C36" s="236" t="s">
        <v>254</v>
      </c>
      <c r="D36" s="7"/>
      <c r="E36" s="7"/>
      <c r="F36" s="7"/>
      <c r="G36" s="7"/>
      <c r="H36" s="7">
        <v>10058</v>
      </c>
      <c r="I36" s="7">
        <v>0</v>
      </c>
      <c r="J36" s="7">
        <v>0</v>
      </c>
      <c r="K36" s="7">
        <v>12750</v>
      </c>
      <c r="L36" s="7"/>
      <c r="M36" s="7"/>
      <c r="N36" s="7">
        <f t="shared" si="5"/>
        <v>12750</v>
      </c>
      <c r="O36" s="7">
        <v>0</v>
      </c>
      <c r="P36" s="20">
        <f>N36</f>
        <v>12750</v>
      </c>
      <c r="Q36" s="20">
        <v>0</v>
      </c>
    </row>
    <row r="37" spans="1:17" s="168" customFormat="1" ht="17.25" customHeight="1">
      <c r="A37" s="158" t="s">
        <v>266</v>
      </c>
      <c r="B37" s="160"/>
      <c r="C37" s="159" t="s">
        <v>267</v>
      </c>
      <c r="D37" s="159" t="e">
        <f aca="true" t="shared" si="10" ref="D37:P37">D38</f>
        <v>#REF!</v>
      </c>
      <c r="E37" s="159" t="e">
        <f t="shared" si="10"/>
        <v>#REF!</v>
      </c>
      <c r="F37" s="159" t="e">
        <f t="shared" si="10"/>
        <v>#REF!</v>
      </c>
      <c r="G37" s="159" t="e">
        <f t="shared" si="10"/>
        <v>#REF!</v>
      </c>
      <c r="H37" s="159" t="e">
        <f t="shared" si="10"/>
        <v>#REF!</v>
      </c>
      <c r="I37" s="159" t="e">
        <f t="shared" si="10"/>
        <v>#REF!</v>
      </c>
      <c r="J37" s="159" t="e">
        <f t="shared" si="10"/>
        <v>#REF!</v>
      </c>
      <c r="K37" s="159">
        <f>K38</f>
        <v>4245080</v>
      </c>
      <c r="L37" s="159">
        <f>L38</f>
        <v>8979</v>
      </c>
      <c r="M37" s="159">
        <f>M38</f>
        <v>0</v>
      </c>
      <c r="N37" s="159">
        <f t="shared" si="5"/>
        <v>4254059</v>
      </c>
      <c r="O37" s="159">
        <f t="shared" si="10"/>
        <v>0</v>
      </c>
      <c r="P37" s="161">
        <f t="shared" si="10"/>
        <v>4254059</v>
      </c>
      <c r="Q37" s="161">
        <f>Q38</f>
        <v>0</v>
      </c>
    </row>
    <row r="38" spans="1:17" s="168" customFormat="1" ht="14.25" customHeight="1">
      <c r="A38" s="181" t="s">
        <v>268</v>
      </c>
      <c r="B38" s="289"/>
      <c r="C38" s="154" t="s">
        <v>269</v>
      </c>
      <c r="D38" s="154" t="e">
        <f>D40+D41+D42+D39+#REF!+D55</f>
        <v>#REF!</v>
      </c>
      <c r="E38" s="154" t="e">
        <f>E40+E41+E42+E43+E39+#REF!+E45+E46+E47+E48+E50+E51+E52+E53+#REF!+E54+E55+#REF!</f>
        <v>#REF!</v>
      </c>
      <c r="F38" s="154" t="e">
        <f>F40+F41+F42+F43+F39+#REF!+F45+F46+F47+F48+F50+F51+F52+F53+F54+F55+#REF!+#REF!</f>
        <v>#REF!</v>
      </c>
      <c r="G38" s="154" t="e">
        <f>G40+G41+G42+G43+G39+#REF!+G45+G46+G47+G48+G50+G51+G52+G53+G54+G55+#REF!+#REF!</f>
        <v>#REF!</v>
      </c>
      <c r="H38" s="154" t="e">
        <f>H40+H41+H42+H43+H39+#REF!+H45+H46+H47+H48+H50+H51+H52+H53+H54+H55+#REF!+#REF!+#REF!+#REF!+#REF!</f>
        <v>#REF!</v>
      </c>
      <c r="I38" s="154" t="e">
        <f>I40+I41+I42+I43+I39+#REF!+I45+I46+I47+I48+I50+I51+I52+I53+I54+I55+#REF!+#REF!+#REF!+#REF!+#REF!</f>
        <v>#REF!</v>
      </c>
      <c r="J38" s="154" t="e">
        <f>J40+J41+J42+J43+J39+#REF!+J45+J46+J47+J48+J50+J51+J52+J53+J54+J55+#REF!+#REF!+#REF!+#REF!+#REF!</f>
        <v>#REF!</v>
      </c>
      <c r="K38" s="154">
        <f>SUM(K39:K57)</f>
        <v>4245080</v>
      </c>
      <c r="L38" s="154">
        <f>SUM(L39:L57)</f>
        <v>8979</v>
      </c>
      <c r="M38" s="154">
        <f>SUM(M39:M57)</f>
        <v>0</v>
      </c>
      <c r="N38" s="154">
        <f t="shared" si="5"/>
        <v>4254059</v>
      </c>
      <c r="O38" s="154">
        <f>O40+O41+O42+O43+O44+O39+O45+O46+O47+O48+O49+O50+O51+O52+O53+O54+O56+O57</f>
        <v>0</v>
      </c>
      <c r="P38" s="154">
        <f>P39+P40+P41+P42+P43+P44+P45+P46+P47+P48+P49+P50+P51+P52+P53+P54+P55+P56+P57</f>
        <v>4254059</v>
      </c>
      <c r="Q38" s="154">
        <f>Q39+Q40+Q41+Q42+Q43+Q44+Q45+Q46+Q47+Q48+Q49+Q50+Q51+Q52+Q53+Q54+Q55+Q56+Q57</f>
        <v>0</v>
      </c>
    </row>
    <row r="39" spans="1:17" s="306" customFormat="1" ht="14.25" customHeight="1">
      <c r="A39" s="19"/>
      <c r="B39" s="14" t="s">
        <v>220</v>
      </c>
      <c r="C39" s="403" t="s">
        <v>273</v>
      </c>
      <c r="D39" s="155">
        <v>1296250</v>
      </c>
      <c r="E39" s="90">
        <v>4000</v>
      </c>
      <c r="F39" s="90">
        <v>0</v>
      </c>
      <c r="G39" s="90">
        <v>0</v>
      </c>
      <c r="H39" s="90">
        <v>6000</v>
      </c>
      <c r="I39" s="155">
        <v>0</v>
      </c>
      <c r="J39" s="155">
        <v>0</v>
      </c>
      <c r="K39" s="155">
        <v>4000</v>
      </c>
      <c r="L39" s="155"/>
      <c r="M39" s="155"/>
      <c r="N39" s="7">
        <f t="shared" si="5"/>
        <v>4000</v>
      </c>
      <c r="O39" s="155">
        <v>0</v>
      </c>
      <c r="P39" s="20">
        <f>N39</f>
        <v>4000</v>
      </c>
      <c r="Q39" s="20">
        <v>0</v>
      </c>
    </row>
    <row r="40" spans="1:17" s="168" customFormat="1" ht="15" customHeight="1">
      <c r="A40" s="19"/>
      <c r="B40" s="14" t="s">
        <v>237</v>
      </c>
      <c r="C40" s="282" t="s">
        <v>238</v>
      </c>
      <c r="D40" s="7">
        <v>580000</v>
      </c>
      <c r="E40" s="7">
        <v>599500</v>
      </c>
      <c r="F40" s="7">
        <v>0</v>
      </c>
      <c r="G40" s="7">
        <v>0</v>
      </c>
      <c r="H40" s="7">
        <v>356415</v>
      </c>
      <c r="I40" s="7">
        <v>0</v>
      </c>
      <c r="J40" s="7">
        <v>0</v>
      </c>
      <c r="K40" s="7">
        <v>364907</v>
      </c>
      <c r="L40" s="7"/>
      <c r="M40" s="7"/>
      <c r="N40" s="7">
        <f t="shared" si="5"/>
        <v>364907</v>
      </c>
      <c r="O40" s="7">
        <v>0</v>
      </c>
      <c r="P40" s="20">
        <f aca="true" t="shared" si="11" ref="P40:P57">N40</f>
        <v>364907</v>
      </c>
      <c r="Q40" s="20">
        <v>0</v>
      </c>
    </row>
    <row r="41" spans="1:17" s="168" customFormat="1" ht="15.75" customHeight="1">
      <c r="A41" s="19"/>
      <c r="B41" s="14" t="s">
        <v>241</v>
      </c>
      <c r="C41" s="282" t="s">
        <v>242</v>
      </c>
      <c r="D41" s="7">
        <v>37980</v>
      </c>
      <c r="E41" s="7">
        <v>46300</v>
      </c>
      <c r="F41" s="7">
        <v>0</v>
      </c>
      <c r="G41" s="7">
        <v>41</v>
      </c>
      <c r="H41" s="7">
        <v>33240</v>
      </c>
      <c r="I41" s="7">
        <v>0</v>
      </c>
      <c r="J41" s="7">
        <v>0</v>
      </c>
      <c r="K41" s="7">
        <v>26868</v>
      </c>
      <c r="L41" s="7"/>
      <c r="M41" s="7">
        <v>0</v>
      </c>
      <c r="N41" s="7">
        <f t="shared" si="5"/>
        <v>26868</v>
      </c>
      <c r="O41" s="7">
        <v>0</v>
      </c>
      <c r="P41" s="20">
        <f t="shared" si="11"/>
        <v>26868</v>
      </c>
      <c r="Q41" s="20">
        <v>0</v>
      </c>
    </row>
    <row r="42" spans="1:17" s="168" customFormat="1" ht="15" customHeight="1">
      <c r="A42" s="19"/>
      <c r="B42" s="21" t="s">
        <v>270</v>
      </c>
      <c r="C42" s="282" t="s">
        <v>271</v>
      </c>
      <c r="D42" s="7">
        <v>121770</v>
      </c>
      <c r="E42" s="7">
        <v>110000</v>
      </c>
      <c r="F42" s="7">
        <v>0</v>
      </c>
      <c r="G42" s="7">
        <v>1150</v>
      </c>
      <c r="H42" s="7">
        <v>73348</v>
      </c>
      <c r="I42" s="7">
        <v>0</v>
      </c>
      <c r="J42" s="7">
        <v>0</v>
      </c>
      <c r="K42" s="7">
        <v>67912</v>
      </c>
      <c r="L42" s="7"/>
      <c r="M42" s="7"/>
      <c r="N42" s="7">
        <f t="shared" si="5"/>
        <v>67912</v>
      </c>
      <c r="O42" s="7">
        <v>0</v>
      </c>
      <c r="P42" s="20">
        <f t="shared" si="11"/>
        <v>67912</v>
      </c>
      <c r="Q42" s="20">
        <v>0</v>
      </c>
    </row>
    <row r="43" spans="1:17" s="168" customFormat="1" ht="14.25" customHeight="1">
      <c r="A43" s="19"/>
      <c r="B43" s="21" t="s">
        <v>245</v>
      </c>
      <c r="C43" s="282" t="s">
        <v>246</v>
      </c>
      <c r="D43" s="7"/>
      <c r="E43" s="7">
        <v>12400</v>
      </c>
      <c r="F43" s="7">
        <v>2500</v>
      </c>
      <c r="G43" s="7">
        <v>0</v>
      </c>
      <c r="H43" s="7">
        <v>10132</v>
      </c>
      <c r="I43" s="7">
        <v>0</v>
      </c>
      <c r="J43" s="7">
        <v>0</v>
      </c>
      <c r="K43" s="7">
        <v>9385</v>
      </c>
      <c r="L43" s="7"/>
      <c r="M43" s="7"/>
      <c r="N43" s="7">
        <f t="shared" si="5"/>
        <v>9385</v>
      </c>
      <c r="O43" s="7">
        <v>0</v>
      </c>
      <c r="P43" s="20">
        <f t="shared" si="11"/>
        <v>9385</v>
      </c>
      <c r="Q43" s="20">
        <v>0</v>
      </c>
    </row>
    <row r="44" spans="1:17" s="168" customFormat="1" ht="12.75" customHeight="1">
      <c r="A44" s="19"/>
      <c r="B44" s="21" t="s">
        <v>92</v>
      </c>
      <c r="C44" s="282" t="s">
        <v>106</v>
      </c>
      <c r="D44" s="7"/>
      <c r="E44" s="7"/>
      <c r="F44" s="7"/>
      <c r="G44" s="7"/>
      <c r="H44" s="7"/>
      <c r="I44" s="7"/>
      <c r="J44" s="7"/>
      <c r="K44" s="7">
        <v>25000</v>
      </c>
      <c r="L44" s="7"/>
      <c r="M44" s="7"/>
      <c r="N44" s="7">
        <f t="shared" si="5"/>
        <v>25000</v>
      </c>
      <c r="O44" s="7">
        <v>0</v>
      </c>
      <c r="P44" s="20">
        <f t="shared" si="11"/>
        <v>25000</v>
      </c>
      <c r="Q44" s="20">
        <v>0</v>
      </c>
    </row>
    <row r="45" spans="1:17" s="168" customFormat="1" ht="12.75" customHeight="1">
      <c r="A45" s="19"/>
      <c r="B45" s="14" t="s">
        <v>247</v>
      </c>
      <c r="C45" s="282" t="s">
        <v>274</v>
      </c>
      <c r="D45" s="7"/>
      <c r="E45" s="16">
        <v>130378</v>
      </c>
      <c r="F45" s="16">
        <v>40000</v>
      </c>
      <c r="G45" s="16">
        <v>0</v>
      </c>
      <c r="H45" s="16">
        <v>140000</v>
      </c>
      <c r="I45" s="7">
        <v>0</v>
      </c>
      <c r="J45" s="7">
        <v>0</v>
      </c>
      <c r="K45" s="7">
        <v>219655</v>
      </c>
      <c r="L45" s="7">
        <v>0</v>
      </c>
      <c r="M45" s="7"/>
      <c r="N45" s="7">
        <f t="shared" si="5"/>
        <v>219655</v>
      </c>
      <c r="O45" s="7">
        <v>0</v>
      </c>
      <c r="P45" s="20">
        <f t="shared" si="11"/>
        <v>219655</v>
      </c>
      <c r="Q45" s="20">
        <v>0</v>
      </c>
    </row>
    <row r="46" spans="1:17" s="168" customFormat="1" ht="13.5" customHeight="1">
      <c r="A46" s="19"/>
      <c r="B46" s="14" t="s">
        <v>249</v>
      </c>
      <c r="C46" s="282" t="s">
        <v>250</v>
      </c>
      <c r="D46" s="7"/>
      <c r="E46" s="16">
        <v>33000</v>
      </c>
      <c r="F46" s="16">
        <v>5000</v>
      </c>
      <c r="G46" s="16">
        <v>0</v>
      </c>
      <c r="H46" s="16">
        <v>30000</v>
      </c>
      <c r="I46" s="7">
        <v>0</v>
      </c>
      <c r="J46" s="7">
        <v>0</v>
      </c>
      <c r="K46" s="7">
        <v>31100</v>
      </c>
      <c r="L46" s="7"/>
      <c r="M46" s="7"/>
      <c r="N46" s="7">
        <f t="shared" si="5"/>
        <v>31100</v>
      </c>
      <c r="O46" s="7">
        <v>0</v>
      </c>
      <c r="P46" s="20">
        <f t="shared" si="11"/>
        <v>31100</v>
      </c>
      <c r="Q46" s="20">
        <v>0</v>
      </c>
    </row>
    <row r="47" spans="1:17" s="168" customFormat="1" ht="13.5" customHeight="1">
      <c r="A47" s="19"/>
      <c r="B47" s="14" t="s">
        <v>251</v>
      </c>
      <c r="C47" s="282" t="s">
        <v>252</v>
      </c>
      <c r="D47" s="7"/>
      <c r="E47" s="16">
        <v>613990</v>
      </c>
      <c r="F47" s="16">
        <v>0</v>
      </c>
      <c r="G47" s="16">
        <v>500000</v>
      </c>
      <c r="H47" s="16">
        <v>7000</v>
      </c>
      <c r="I47" s="7">
        <v>0</v>
      </c>
      <c r="J47" s="7">
        <v>0</v>
      </c>
      <c r="K47" s="7">
        <v>37000</v>
      </c>
      <c r="L47" s="7"/>
      <c r="M47" s="7">
        <v>0</v>
      </c>
      <c r="N47" s="7">
        <f t="shared" si="5"/>
        <v>37000</v>
      </c>
      <c r="O47" s="7">
        <v>0</v>
      </c>
      <c r="P47" s="20">
        <f t="shared" si="11"/>
        <v>37000</v>
      </c>
      <c r="Q47" s="20">
        <v>0</v>
      </c>
    </row>
    <row r="48" spans="1:17" s="168" customFormat="1" ht="14.25" customHeight="1">
      <c r="A48" s="19"/>
      <c r="B48" s="14" t="s">
        <v>253</v>
      </c>
      <c r="C48" s="282" t="s">
        <v>254</v>
      </c>
      <c r="D48" s="7"/>
      <c r="E48" s="16">
        <v>828700</v>
      </c>
      <c r="F48" s="16">
        <v>0</v>
      </c>
      <c r="G48" s="16">
        <v>142451</v>
      </c>
      <c r="H48" s="16">
        <v>412661</v>
      </c>
      <c r="I48" s="7">
        <v>0</v>
      </c>
      <c r="J48" s="7">
        <v>0</v>
      </c>
      <c r="K48" s="7">
        <v>376244</v>
      </c>
      <c r="L48" s="7">
        <v>0</v>
      </c>
      <c r="M48" s="7"/>
      <c r="N48" s="7">
        <f t="shared" si="5"/>
        <v>376244</v>
      </c>
      <c r="O48" s="7">
        <v>0</v>
      </c>
      <c r="P48" s="20">
        <f t="shared" si="11"/>
        <v>376244</v>
      </c>
      <c r="Q48" s="20">
        <v>0</v>
      </c>
    </row>
    <row r="49" spans="1:17" s="168" customFormat="1" ht="14.25" customHeight="1">
      <c r="A49" s="19"/>
      <c r="B49" s="14" t="s">
        <v>107</v>
      </c>
      <c r="C49" s="282" t="s">
        <v>108</v>
      </c>
      <c r="D49" s="7"/>
      <c r="E49" s="16"/>
      <c r="F49" s="16"/>
      <c r="G49" s="16"/>
      <c r="H49" s="16"/>
      <c r="I49" s="7"/>
      <c r="J49" s="7"/>
      <c r="K49" s="7">
        <v>3700</v>
      </c>
      <c r="L49" s="7"/>
      <c r="M49" s="7"/>
      <c r="N49" s="7">
        <f t="shared" si="5"/>
        <v>3700</v>
      </c>
      <c r="O49" s="7">
        <v>0</v>
      </c>
      <c r="P49" s="20">
        <f t="shared" si="11"/>
        <v>3700</v>
      </c>
      <c r="Q49" s="20">
        <v>0</v>
      </c>
    </row>
    <row r="50" spans="1:17" s="168" customFormat="1" ht="14.25" customHeight="1">
      <c r="A50" s="19"/>
      <c r="B50" s="14" t="s">
        <v>255</v>
      </c>
      <c r="C50" s="282" t="s">
        <v>256</v>
      </c>
      <c r="D50" s="7"/>
      <c r="E50" s="16">
        <v>660</v>
      </c>
      <c r="F50" s="16">
        <v>0</v>
      </c>
      <c r="G50" s="16">
        <v>300</v>
      </c>
      <c r="H50" s="16">
        <v>500</v>
      </c>
      <c r="I50" s="7">
        <v>0</v>
      </c>
      <c r="J50" s="7">
        <v>0</v>
      </c>
      <c r="K50" s="7">
        <v>1500</v>
      </c>
      <c r="L50" s="7"/>
      <c r="M50" s="7"/>
      <c r="N50" s="7">
        <f t="shared" si="5"/>
        <v>1500</v>
      </c>
      <c r="O50" s="7">
        <v>0</v>
      </c>
      <c r="P50" s="20">
        <f t="shared" si="11"/>
        <v>1500</v>
      </c>
      <c r="Q50" s="20">
        <v>0</v>
      </c>
    </row>
    <row r="51" spans="1:17" s="168" customFormat="1" ht="15.75" customHeight="1">
      <c r="A51" s="19"/>
      <c r="B51" s="14" t="s">
        <v>257</v>
      </c>
      <c r="C51" s="282" t="s">
        <v>258</v>
      </c>
      <c r="D51" s="7"/>
      <c r="E51" s="16">
        <v>23000</v>
      </c>
      <c r="F51" s="16">
        <v>500</v>
      </c>
      <c r="G51" s="16">
        <v>0</v>
      </c>
      <c r="H51" s="16">
        <v>15412</v>
      </c>
      <c r="I51" s="7">
        <v>0</v>
      </c>
      <c r="J51" s="7">
        <v>0</v>
      </c>
      <c r="K51" s="7">
        <v>2000</v>
      </c>
      <c r="L51" s="7"/>
      <c r="M51" s="7"/>
      <c r="N51" s="7">
        <f t="shared" si="5"/>
        <v>2000</v>
      </c>
      <c r="O51" s="7">
        <v>0</v>
      </c>
      <c r="P51" s="20">
        <f t="shared" si="11"/>
        <v>2000</v>
      </c>
      <c r="Q51" s="20">
        <v>0</v>
      </c>
    </row>
    <row r="52" spans="1:17" s="168" customFormat="1" ht="13.5" customHeight="1">
      <c r="A52" s="19"/>
      <c r="B52" s="14" t="s">
        <v>259</v>
      </c>
      <c r="C52" s="282" t="s">
        <v>260</v>
      </c>
      <c r="D52" s="7"/>
      <c r="E52" s="16">
        <v>14893</v>
      </c>
      <c r="F52" s="16">
        <v>0</v>
      </c>
      <c r="G52" s="16">
        <v>0</v>
      </c>
      <c r="H52" s="16">
        <v>13388</v>
      </c>
      <c r="I52" s="7">
        <v>0</v>
      </c>
      <c r="J52" s="7">
        <v>0</v>
      </c>
      <c r="K52" s="7">
        <v>10913</v>
      </c>
      <c r="L52" s="7"/>
      <c r="M52" s="7"/>
      <c r="N52" s="7">
        <f t="shared" si="5"/>
        <v>10913</v>
      </c>
      <c r="O52" s="7">
        <v>0</v>
      </c>
      <c r="P52" s="20">
        <f t="shared" si="11"/>
        <v>10913</v>
      </c>
      <c r="Q52" s="20">
        <v>0</v>
      </c>
    </row>
    <row r="53" spans="1:17" s="168" customFormat="1" ht="13.5" customHeight="1">
      <c r="A53" s="19"/>
      <c r="B53" s="14" t="s">
        <v>275</v>
      </c>
      <c r="C53" s="282" t="s">
        <v>276</v>
      </c>
      <c r="D53" s="7"/>
      <c r="E53" s="16">
        <v>8147</v>
      </c>
      <c r="F53" s="16">
        <v>0</v>
      </c>
      <c r="G53" s="16">
        <v>0</v>
      </c>
      <c r="H53" s="16">
        <v>7500</v>
      </c>
      <c r="I53" s="7">
        <v>0</v>
      </c>
      <c r="J53" s="7">
        <v>0</v>
      </c>
      <c r="K53" s="7">
        <v>9222</v>
      </c>
      <c r="L53" s="7"/>
      <c r="M53" s="7">
        <v>0</v>
      </c>
      <c r="N53" s="7">
        <f t="shared" si="5"/>
        <v>9222</v>
      </c>
      <c r="O53" s="7">
        <v>0</v>
      </c>
      <c r="P53" s="20">
        <f t="shared" si="11"/>
        <v>9222</v>
      </c>
      <c r="Q53" s="20">
        <v>0</v>
      </c>
    </row>
    <row r="54" spans="1:17" s="168" customFormat="1" ht="12.75" customHeight="1">
      <c r="A54" s="19"/>
      <c r="B54" s="14" t="s">
        <v>277</v>
      </c>
      <c r="C54" s="282" t="s">
        <v>278</v>
      </c>
      <c r="D54" s="7"/>
      <c r="E54" s="16">
        <v>132020</v>
      </c>
      <c r="F54" s="16">
        <v>700000</v>
      </c>
      <c r="G54" s="16">
        <v>0</v>
      </c>
      <c r="H54" s="16">
        <v>2525825</v>
      </c>
      <c r="I54" s="7">
        <v>0</v>
      </c>
      <c r="J54" s="7">
        <v>0</v>
      </c>
      <c r="K54" s="7">
        <v>220000</v>
      </c>
      <c r="L54" s="7">
        <v>0</v>
      </c>
      <c r="M54" s="7">
        <v>0</v>
      </c>
      <c r="N54" s="7">
        <f t="shared" si="5"/>
        <v>220000</v>
      </c>
      <c r="O54" s="7">
        <v>0</v>
      </c>
      <c r="P54" s="20">
        <f t="shared" si="11"/>
        <v>220000</v>
      </c>
      <c r="Q54" s="20">
        <v>0</v>
      </c>
    </row>
    <row r="55" spans="1:17" s="168" customFormat="1" ht="14.25" customHeight="1">
      <c r="A55" s="19"/>
      <c r="B55" s="14" t="s">
        <v>279</v>
      </c>
      <c r="C55" s="282" t="s">
        <v>163</v>
      </c>
      <c r="D55" s="7">
        <v>0</v>
      </c>
      <c r="E55" s="16">
        <v>60000</v>
      </c>
      <c r="F55" s="16">
        <v>0</v>
      </c>
      <c r="G55" s="16">
        <v>3758</v>
      </c>
      <c r="H55" s="16"/>
      <c r="I55" s="7">
        <v>0</v>
      </c>
      <c r="J55" s="7">
        <v>0</v>
      </c>
      <c r="K55" s="7">
        <v>26000</v>
      </c>
      <c r="L55" s="7">
        <v>0</v>
      </c>
      <c r="M55" s="7"/>
      <c r="N55" s="7">
        <f t="shared" si="5"/>
        <v>26000</v>
      </c>
      <c r="O55" s="7">
        <v>0</v>
      </c>
      <c r="P55" s="20">
        <f t="shared" si="11"/>
        <v>26000</v>
      </c>
      <c r="Q55" s="20">
        <v>0</v>
      </c>
    </row>
    <row r="56" spans="1:17" s="168" customFormat="1" ht="15" customHeight="1">
      <c r="A56" s="19"/>
      <c r="B56" s="14" t="s">
        <v>507</v>
      </c>
      <c r="C56" s="282" t="s">
        <v>580</v>
      </c>
      <c r="D56" s="7"/>
      <c r="E56" s="16"/>
      <c r="F56" s="16"/>
      <c r="G56" s="16"/>
      <c r="H56" s="16"/>
      <c r="I56" s="7"/>
      <c r="J56" s="7"/>
      <c r="K56" s="7">
        <v>1988005</v>
      </c>
      <c r="L56" s="7"/>
      <c r="M56" s="7"/>
      <c r="N56" s="7">
        <f t="shared" si="5"/>
        <v>1988005</v>
      </c>
      <c r="O56" s="7">
        <v>0</v>
      </c>
      <c r="P56" s="20">
        <f t="shared" si="11"/>
        <v>1988005</v>
      </c>
      <c r="Q56" s="20">
        <v>0</v>
      </c>
    </row>
    <row r="57" spans="1:17" s="168" customFormat="1" ht="18" customHeight="1">
      <c r="A57" s="19"/>
      <c r="B57" s="14" t="s">
        <v>665</v>
      </c>
      <c r="C57" s="282" t="s">
        <v>580</v>
      </c>
      <c r="D57" s="7"/>
      <c r="E57" s="16"/>
      <c r="F57" s="16"/>
      <c r="G57" s="16"/>
      <c r="H57" s="16"/>
      <c r="I57" s="7"/>
      <c r="J57" s="7"/>
      <c r="K57" s="7">
        <v>821669</v>
      </c>
      <c r="L57" s="7">
        <v>8979</v>
      </c>
      <c r="M57" s="7">
        <v>0</v>
      </c>
      <c r="N57" s="7">
        <f t="shared" si="5"/>
        <v>830648</v>
      </c>
      <c r="O57" s="7">
        <v>0</v>
      </c>
      <c r="P57" s="20">
        <f t="shared" si="11"/>
        <v>830648</v>
      </c>
      <c r="Q57" s="20">
        <v>0</v>
      </c>
    </row>
    <row r="58" spans="1:17" s="168" customFormat="1" ht="21.75" customHeight="1">
      <c r="A58" s="158" t="s">
        <v>280</v>
      </c>
      <c r="B58" s="162"/>
      <c r="C58" s="163" t="s">
        <v>281</v>
      </c>
      <c r="D58" s="159">
        <f aca="true" t="shared" si="12" ref="D58:Q58">D59</f>
        <v>15000</v>
      </c>
      <c r="E58" s="159">
        <f t="shared" si="12"/>
        <v>37000</v>
      </c>
      <c r="F58" s="159">
        <f t="shared" si="12"/>
        <v>3693</v>
      </c>
      <c r="G58" s="159">
        <f t="shared" si="12"/>
        <v>3693</v>
      </c>
      <c r="H58" s="159">
        <f aca="true" t="shared" si="13" ref="H58:M58">H59</f>
        <v>87539</v>
      </c>
      <c r="I58" s="159">
        <f t="shared" si="13"/>
        <v>0</v>
      </c>
      <c r="J58" s="159">
        <f t="shared" si="13"/>
        <v>0</v>
      </c>
      <c r="K58" s="159">
        <f t="shared" si="13"/>
        <v>764770</v>
      </c>
      <c r="L58" s="159">
        <f t="shared" si="13"/>
        <v>0</v>
      </c>
      <c r="M58" s="159">
        <f t="shared" si="13"/>
        <v>0</v>
      </c>
      <c r="N58" s="159">
        <f t="shared" si="5"/>
        <v>764770</v>
      </c>
      <c r="O58" s="159">
        <f t="shared" si="12"/>
        <v>62000</v>
      </c>
      <c r="P58" s="159">
        <f t="shared" si="12"/>
        <v>702770</v>
      </c>
      <c r="Q58" s="161">
        <f t="shared" si="12"/>
        <v>0</v>
      </c>
    </row>
    <row r="59" spans="1:17" s="168" customFormat="1" ht="24.75" customHeight="1">
      <c r="A59" s="181" t="s">
        <v>282</v>
      </c>
      <c r="B59" s="289"/>
      <c r="C59" s="182" t="s">
        <v>283</v>
      </c>
      <c r="D59" s="154">
        <f>D63</f>
        <v>15000</v>
      </c>
      <c r="E59" s="154">
        <f>E63+E61</f>
        <v>37000</v>
      </c>
      <c r="F59" s="154">
        <f>F63+F61</f>
        <v>3693</v>
      </c>
      <c r="G59" s="154">
        <f>G63+G61</f>
        <v>3693</v>
      </c>
      <c r="H59" s="154">
        <f>H61+H63+H64+H66+H67+H60+H65</f>
        <v>87539</v>
      </c>
      <c r="I59" s="154">
        <f>I61+I63+I64+I66+I67+I60+I65</f>
        <v>0</v>
      </c>
      <c r="J59" s="154">
        <f>J61+J63+J64+J66+J67+J60+J65</f>
        <v>0</v>
      </c>
      <c r="K59" s="154">
        <f>SUM(K60:K69)</f>
        <v>764770</v>
      </c>
      <c r="L59" s="154">
        <f>SUM(L60:L69)</f>
        <v>0</v>
      </c>
      <c r="M59" s="154">
        <f>SUM(M60:M69)</f>
        <v>0</v>
      </c>
      <c r="N59" s="154">
        <f t="shared" si="5"/>
        <v>764770</v>
      </c>
      <c r="O59" s="154">
        <f>O60+O61+O63+O64+O66+O67+O65</f>
        <v>62000</v>
      </c>
      <c r="P59" s="154">
        <f>P60+P61+P62+P63+P64+P65+P66+P67+P68+P69</f>
        <v>702770</v>
      </c>
      <c r="Q59" s="154">
        <f>Q61+Q63+Q64+Q66+Q67+Q65</f>
        <v>0</v>
      </c>
    </row>
    <row r="60" spans="1:17" s="168" customFormat="1" ht="13.5" customHeight="1">
      <c r="A60" s="13"/>
      <c r="B60" s="14" t="s">
        <v>92</v>
      </c>
      <c r="C60" s="282" t="s">
        <v>653</v>
      </c>
      <c r="D60" s="16"/>
      <c r="E60" s="16"/>
      <c r="F60" s="16"/>
      <c r="G60" s="16"/>
      <c r="H60" s="16">
        <v>3005</v>
      </c>
      <c r="I60" s="16">
        <v>0</v>
      </c>
      <c r="J60" s="16">
        <v>0</v>
      </c>
      <c r="K60" s="16">
        <v>800</v>
      </c>
      <c r="L60" s="16"/>
      <c r="M60" s="16"/>
      <c r="N60" s="7">
        <f t="shared" si="5"/>
        <v>800</v>
      </c>
      <c r="O60" s="16">
        <v>800</v>
      </c>
      <c r="P60" s="16">
        <f>K60-O60</f>
        <v>0</v>
      </c>
      <c r="Q60" s="6">
        <v>0</v>
      </c>
    </row>
    <row r="61" spans="1:17" s="168" customFormat="1" ht="14.25" customHeight="1">
      <c r="A61" s="13"/>
      <c r="B61" s="14" t="s">
        <v>249</v>
      </c>
      <c r="C61" s="282" t="s">
        <v>250</v>
      </c>
      <c r="D61" s="16"/>
      <c r="E61" s="16">
        <v>20000</v>
      </c>
      <c r="F61" s="16">
        <v>3693</v>
      </c>
      <c r="G61" s="16">
        <v>0</v>
      </c>
      <c r="H61" s="16">
        <v>10601</v>
      </c>
      <c r="I61" s="16">
        <v>0</v>
      </c>
      <c r="J61" s="16">
        <v>0</v>
      </c>
      <c r="K61" s="7">
        <v>3930</v>
      </c>
      <c r="L61" s="7"/>
      <c r="M61" s="16"/>
      <c r="N61" s="7">
        <f t="shared" si="5"/>
        <v>3930</v>
      </c>
      <c r="O61" s="16">
        <v>3930</v>
      </c>
      <c r="P61" s="16">
        <f>N61-O61</f>
        <v>0</v>
      </c>
      <c r="Q61" s="17">
        <v>0</v>
      </c>
    </row>
    <row r="62" spans="1:17" s="168" customFormat="1" ht="13.5" customHeight="1">
      <c r="A62" s="13"/>
      <c r="B62" s="14" t="s">
        <v>251</v>
      </c>
      <c r="C62" s="282" t="s">
        <v>369</v>
      </c>
      <c r="D62" s="16"/>
      <c r="E62" s="16"/>
      <c r="F62" s="16"/>
      <c r="G62" s="16"/>
      <c r="H62" s="16"/>
      <c r="I62" s="16"/>
      <c r="J62" s="16"/>
      <c r="K62" s="7">
        <v>0</v>
      </c>
      <c r="L62" s="7">
        <v>0</v>
      </c>
      <c r="M62" s="16">
        <v>0</v>
      </c>
      <c r="N62" s="7">
        <f t="shared" si="5"/>
        <v>0</v>
      </c>
      <c r="O62" s="16">
        <v>0</v>
      </c>
      <c r="P62" s="16">
        <f aca="true" t="shared" si="14" ref="P62:P69">N62-O62</f>
        <v>0</v>
      </c>
      <c r="Q62" s="17"/>
    </row>
    <row r="63" spans="1:17" s="168" customFormat="1" ht="13.5" customHeight="1">
      <c r="A63" s="24"/>
      <c r="B63" s="14" t="s">
        <v>253</v>
      </c>
      <c r="C63" s="282" t="s">
        <v>254</v>
      </c>
      <c r="D63" s="7">
        <v>15000</v>
      </c>
      <c r="E63" s="16">
        <v>17000</v>
      </c>
      <c r="F63" s="16">
        <v>0</v>
      </c>
      <c r="G63" s="16">
        <v>3693</v>
      </c>
      <c r="H63" s="16">
        <v>65521</v>
      </c>
      <c r="I63" s="16">
        <v>0</v>
      </c>
      <c r="J63" s="16">
        <v>0</v>
      </c>
      <c r="K63" s="7">
        <v>51088</v>
      </c>
      <c r="L63" s="7"/>
      <c r="M63" s="16">
        <v>0</v>
      </c>
      <c r="N63" s="7">
        <f t="shared" si="5"/>
        <v>51088</v>
      </c>
      <c r="O63" s="16">
        <v>41402</v>
      </c>
      <c r="P63" s="16">
        <f t="shared" si="14"/>
        <v>9686</v>
      </c>
      <c r="Q63" s="20">
        <v>0</v>
      </c>
    </row>
    <row r="64" spans="1:17" s="168" customFormat="1" ht="14.25" customHeight="1">
      <c r="A64" s="24"/>
      <c r="B64" s="14" t="s">
        <v>257</v>
      </c>
      <c r="C64" s="282" t="s">
        <v>258</v>
      </c>
      <c r="D64" s="7"/>
      <c r="E64" s="16"/>
      <c r="F64" s="16"/>
      <c r="G64" s="16"/>
      <c r="H64" s="16">
        <v>1357</v>
      </c>
      <c r="I64" s="16">
        <v>0</v>
      </c>
      <c r="J64" s="16">
        <v>0</v>
      </c>
      <c r="K64" s="7">
        <v>60000</v>
      </c>
      <c r="L64" s="7"/>
      <c r="M64" s="16"/>
      <c r="N64" s="7">
        <f t="shared" si="5"/>
        <v>60000</v>
      </c>
      <c r="O64" s="16">
        <v>0</v>
      </c>
      <c r="P64" s="16">
        <f t="shared" si="14"/>
        <v>60000</v>
      </c>
      <c r="Q64" s="20">
        <v>0</v>
      </c>
    </row>
    <row r="65" spans="1:17" s="168" customFormat="1" ht="13.5" customHeight="1">
      <c r="A65" s="24"/>
      <c r="B65" s="14" t="s">
        <v>275</v>
      </c>
      <c r="C65" s="282" t="s">
        <v>276</v>
      </c>
      <c r="D65" s="7"/>
      <c r="E65" s="16"/>
      <c r="F65" s="16"/>
      <c r="G65" s="16"/>
      <c r="H65" s="16">
        <v>55</v>
      </c>
      <c r="I65" s="16">
        <v>0</v>
      </c>
      <c r="J65" s="16">
        <v>0</v>
      </c>
      <c r="K65" s="7">
        <v>11842</v>
      </c>
      <c r="L65" s="7">
        <v>0</v>
      </c>
      <c r="M65" s="16"/>
      <c r="N65" s="7">
        <f t="shared" si="5"/>
        <v>11842</v>
      </c>
      <c r="O65" s="16">
        <v>11728</v>
      </c>
      <c r="P65" s="16">
        <f t="shared" si="14"/>
        <v>114</v>
      </c>
      <c r="Q65" s="20"/>
    </row>
    <row r="66" spans="1:17" s="168" customFormat="1" ht="12" customHeight="1">
      <c r="A66" s="24"/>
      <c r="B66" s="14" t="s">
        <v>319</v>
      </c>
      <c r="C66" s="282" t="s">
        <v>353</v>
      </c>
      <c r="D66" s="7"/>
      <c r="E66" s="16"/>
      <c r="F66" s="16"/>
      <c r="G66" s="16"/>
      <c r="H66" s="16">
        <v>213</v>
      </c>
      <c r="I66" s="16">
        <v>0</v>
      </c>
      <c r="J66" s="16">
        <v>0</v>
      </c>
      <c r="K66" s="7">
        <v>4140</v>
      </c>
      <c r="L66" s="7"/>
      <c r="M66" s="16">
        <v>0</v>
      </c>
      <c r="N66" s="7">
        <f t="shared" si="5"/>
        <v>4140</v>
      </c>
      <c r="O66" s="16">
        <v>4140</v>
      </c>
      <c r="P66" s="16">
        <f t="shared" si="14"/>
        <v>0</v>
      </c>
      <c r="Q66" s="20">
        <v>0</v>
      </c>
    </row>
    <row r="67" spans="1:17" s="168" customFormat="1" ht="14.25" customHeight="1">
      <c r="A67" s="24"/>
      <c r="B67" s="14" t="s">
        <v>373</v>
      </c>
      <c r="C67" s="282" t="s">
        <v>661</v>
      </c>
      <c r="D67" s="7"/>
      <c r="E67" s="16"/>
      <c r="F67" s="16"/>
      <c r="G67" s="16"/>
      <c r="H67" s="16">
        <v>6787</v>
      </c>
      <c r="I67" s="16">
        <v>0</v>
      </c>
      <c r="J67" s="16">
        <v>0</v>
      </c>
      <c r="K67" s="7">
        <v>16755</v>
      </c>
      <c r="L67" s="7">
        <v>0</v>
      </c>
      <c r="M67" s="16"/>
      <c r="N67" s="7">
        <f t="shared" si="5"/>
        <v>16755</v>
      </c>
      <c r="O67" s="16">
        <v>0</v>
      </c>
      <c r="P67" s="16">
        <f t="shared" si="14"/>
        <v>16755</v>
      </c>
      <c r="Q67" s="20">
        <v>0</v>
      </c>
    </row>
    <row r="68" spans="1:17" s="168" customFormat="1" ht="34.5" customHeight="1">
      <c r="A68" s="24"/>
      <c r="B68" s="14" t="s">
        <v>181</v>
      </c>
      <c r="C68" s="282" t="s">
        <v>182</v>
      </c>
      <c r="D68" s="7"/>
      <c r="E68" s="16"/>
      <c r="F68" s="16"/>
      <c r="G68" s="16"/>
      <c r="H68" s="16"/>
      <c r="I68" s="16"/>
      <c r="J68" s="16"/>
      <c r="K68" s="7">
        <v>1168</v>
      </c>
      <c r="L68" s="7">
        <v>0</v>
      </c>
      <c r="M68" s="16"/>
      <c r="N68" s="7">
        <f t="shared" si="5"/>
        <v>1168</v>
      </c>
      <c r="O68" s="16">
        <v>0</v>
      </c>
      <c r="P68" s="16">
        <f t="shared" si="14"/>
        <v>1168</v>
      </c>
      <c r="Q68" s="20"/>
    </row>
    <row r="69" spans="1:17" s="168" customFormat="1" ht="14.25" customHeight="1">
      <c r="A69" s="24"/>
      <c r="B69" s="14" t="s">
        <v>277</v>
      </c>
      <c r="C69" s="282" t="s">
        <v>278</v>
      </c>
      <c r="D69" s="7"/>
      <c r="E69" s="16"/>
      <c r="F69" s="16"/>
      <c r="G69" s="16"/>
      <c r="H69" s="16"/>
      <c r="I69" s="16"/>
      <c r="J69" s="16"/>
      <c r="K69" s="7">
        <v>615047</v>
      </c>
      <c r="L69" s="7">
        <v>0</v>
      </c>
      <c r="M69" s="16"/>
      <c r="N69" s="7">
        <f t="shared" si="5"/>
        <v>615047</v>
      </c>
      <c r="O69" s="16">
        <v>0</v>
      </c>
      <c r="P69" s="16">
        <f t="shared" si="14"/>
        <v>615047</v>
      </c>
      <c r="Q69" s="20"/>
    </row>
    <row r="70" spans="1:17" s="168" customFormat="1" ht="15" customHeight="1">
      <c r="A70" s="158" t="s">
        <v>285</v>
      </c>
      <c r="B70" s="162"/>
      <c r="C70" s="164" t="s">
        <v>286</v>
      </c>
      <c r="D70" s="159" t="e">
        <f aca="true" t="shared" si="15" ref="D70:Q70">D71+D73+D75</f>
        <v>#REF!</v>
      </c>
      <c r="E70" s="159" t="e">
        <f t="shared" si="15"/>
        <v>#REF!</v>
      </c>
      <c r="F70" s="159" t="e">
        <f t="shared" si="15"/>
        <v>#REF!</v>
      </c>
      <c r="G70" s="159" t="e">
        <f t="shared" si="15"/>
        <v>#REF!</v>
      </c>
      <c r="H70" s="159" t="e">
        <f aca="true" t="shared" si="16" ref="H70:M70">H71+H73+H75</f>
        <v>#REF!</v>
      </c>
      <c r="I70" s="159" t="e">
        <f t="shared" si="16"/>
        <v>#REF!</v>
      </c>
      <c r="J70" s="159" t="e">
        <f t="shared" si="16"/>
        <v>#REF!</v>
      </c>
      <c r="K70" s="159">
        <f t="shared" si="16"/>
        <v>246547</v>
      </c>
      <c r="L70" s="159">
        <f t="shared" si="16"/>
        <v>4640</v>
      </c>
      <c r="M70" s="159">
        <f t="shared" si="16"/>
        <v>4640</v>
      </c>
      <c r="N70" s="159">
        <f t="shared" si="5"/>
        <v>246547</v>
      </c>
      <c r="O70" s="159">
        <f t="shared" si="15"/>
        <v>246547</v>
      </c>
      <c r="P70" s="161">
        <f t="shared" si="15"/>
        <v>0</v>
      </c>
      <c r="Q70" s="161">
        <f t="shared" si="15"/>
        <v>0</v>
      </c>
    </row>
    <row r="71" spans="1:17" s="168" customFormat="1" ht="23.25" customHeight="1">
      <c r="A71" s="181" t="s">
        <v>287</v>
      </c>
      <c r="B71" s="192"/>
      <c r="C71" s="182" t="s">
        <v>294</v>
      </c>
      <c r="D71" s="154">
        <f aca="true" t="shared" si="17" ref="D71:Q71">D72</f>
        <v>79900</v>
      </c>
      <c r="E71" s="154">
        <f t="shared" si="17"/>
        <v>52100</v>
      </c>
      <c r="F71" s="154">
        <f t="shared" si="17"/>
        <v>0</v>
      </c>
      <c r="G71" s="154">
        <f t="shared" si="17"/>
        <v>0</v>
      </c>
      <c r="H71" s="154">
        <f t="shared" si="17"/>
        <v>52000</v>
      </c>
      <c r="I71" s="154">
        <f t="shared" si="17"/>
        <v>0</v>
      </c>
      <c r="J71" s="154">
        <f t="shared" si="17"/>
        <v>0</v>
      </c>
      <c r="K71" s="154">
        <f>K72</f>
        <v>40000</v>
      </c>
      <c r="L71" s="154">
        <f>L72</f>
        <v>0</v>
      </c>
      <c r="M71" s="154">
        <f>M72</f>
        <v>0</v>
      </c>
      <c r="N71" s="154">
        <f t="shared" si="5"/>
        <v>40000</v>
      </c>
      <c r="O71" s="154">
        <f t="shared" si="17"/>
        <v>40000</v>
      </c>
      <c r="P71" s="152">
        <f t="shared" si="17"/>
        <v>0</v>
      </c>
      <c r="Q71" s="152">
        <f t="shared" si="17"/>
        <v>0</v>
      </c>
    </row>
    <row r="72" spans="1:17" s="168" customFormat="1" ht="14.25" customHeight="1">
      <c r="A72" s="24"/>
      <c r="B72" s="14" t="s">
        <v>253</v>
      </c>
      <c r="C72" s="282" t="s">
        <v>254</v>
      </c>
      <c r="D72" s="7">
        <v>79900</v>
      </c>
      <c r="E72" s="16">
        <v>52100</v>
      </c>
      <c r="F72" s="16">
        <v>0</v>
      </c>
      <c r="G72" s="16">
        <v>0</v>
      </c>
      <c r="H72" s="16">
        <v>52000</v>
      </c>
      <c r="I72" s="16">
        <v>0</v>
      </c>
      <c r="J72" s="16">
        <v>0</v>
      </c>
      <c r="K72" s="7">
        <v>40000</v>
      </c>
      <c r="L72" s="7"/>
      <c r="M72" s="16"/>
      <c r="N72" s="7">
        <f t="shared" si="5"/>
        <v>40000</v>
      </c>
      <c r="O72" s="16">
        <f>N72</f>
        <v>40000</v>
      </c>
      <c r="P72" s="20">
        <v>0</v>
      </c>
      <c r="Q72" s="20">
        <v>0</v>
      </c>
    </row>
    <row r="73" spans="1:17" s="168" customFormat="1" ht="17.25" customHeight="1">
      <c r="A73" s="181" t="s">
        <v>295</v>
      </c>
      <c r="B73" s="192"/>
      <c r="C73" s="182" t="s">
        <v>193</v>
      </c>
      <c r="D73" s="154">
        <f aca="true" t="shared" si="18" ref="D73:Q73">D74</f>
        <v>20000</v>
      </c>
      <c r="E73" s="154">
        <f t="shared" si="18"/>
        <v>8000</v>
      </c>
      <c r="F73" s="154">
        <f t="shared" si="18"/>
        <v>0</v>
      </c>
      <c r="G73" s="154">
        <f t="shared" si="18"/>
        <v>0</v>
      </c>
      <c r="H73" s="154">
        <f t="shared" si="18"/>
        <v>4000</v>
      </c>
      <c r="I73" s="154">
        <f t="shared" si="18"/>
        <v>0</v>
      </c>
      <c r="J73" s="154">
        <f t="shared" si="18"/>
        <v>0</v>
      </c>
      <c r="K73" s="154">
        <f>K74</f>
        <v>25000</v>
      </c>
      <c r="L73" s="154">
        <f>L74</f>
        <v>0</v>
      </c>
      <c r="M73" s="154">
        <f>M74</f>
        <v>0</v>
      </c>
      <c r="N73" s="154">
        <f t="shared" si="5"/>
        <v>25000</v>
      </c>
      <c r="O73" s="154">
        <f t="shared" si="18"/>
        <v>25000</v>
      </c>
      <c r="P73" s="152">
        <f t="shared" si="18"/>
        <v>0</v>
      </c>
      <c r="Q73" s="152">
        <f t="shared" si="18"/>
        <v>0</v>
      </c>
    </row>
    <row r="74" spans="1:17" s="168" customFormat="1" ht="15.75" customHeight="1">
      <c r="A74" s="24"/>
      <c r="B74" s="14" t="s">
        <v>253</v>
      </c>
      <c r="C74" s="282" t="s">
        <v>254</v>
      </c>
      <c r="D74" s="7">
        <v>20000</v>
      </c>
      <c r="E74" s="16">
        <v>8000</v>
      </c>
      <c r="F74" s="16">
        <v>0</v>
      </c>
      <c r="G74" s="16">
        <v>0</v>
      </c>
      <c r="H74" s="16">
        <v>4000</v>
      </c>
      <c r="I74" s="16">
        <v>0</v>
      </c>
      <c r="J74" s="16">
        <v>0</v>
      </c>
      <c r="K74" s="7">
        <v>25000</v>
      </c>
      <c r="L74" s="7">
        <v>0</v>
      </c>
      <c r="M74" s="16"/>
      <c r="N74" s="7">
        <f t="shared" si="5"/>
        <v>25000</v>
      </c>
      <c r="O74" s="16">
        <f>N74</f>
        <v>25000</v>
      </c>
      <c r="P74" s="20">
        <v>0</v>
      </c>
      <c r="Q74" s="20">
        <v>0</v>
      </c>
    </row>
    <row r="75" spans="1:17" s="168" customFormat="1" ht="15" customHeight="1">
      <c r="A75" s="181" t="s">
        <v>297</v>
      </c>
      <c r="B75" s="192"/>
      <c r="C75" s="182" t="s">
        <v>298</v>
      </c>
      <c r="D75" s="154" t="e">
        <f>D76+D78+D79+#REF!</f>
        <v>#REF!</v>
      </c>
      <c r="E75" s="154" t="e">
        <f>E76+E78+E79+E80+#REF!+E81+E83+E84+E86</f>
        <v>#REF!</v>
      </c>
      <c r="F75" s="154" t="e">
        <f>F76+F78+F79+F80+#REF!+F81+F83+F84+F86</f>
        <v>#REF!</v>
      </c>
      <c r="G75" s="154" t="e">
        <f>G76+G78+G79+G80+#REF!+G81+G83+G84+G86</f>
        <v>#REF!</v>
      </c>
      <c r="H75" s="154" t="e">
        <f>H76+H78+H79+H80+#REF!+H81+H83+H84+H86+H77</f>
        <v>#REF!</v>
      </c>
      <c r="I75" s="154" t="e">
        <f>I76+I78+I79+I80+#REF!+I81+I83+I84+I86+I77</f>
        <v>#REF!</v>
      </c>
      <c r="J75" s="154" t="e">
        <f>J76+J78+J79+J80+#REF!+J81+J83+J84+J86+J77</f>
        <v>#REF!</v>
      </c>
      <c r="K75" s="154">
        <f>SUM(K76:K86)</f>
        <v>181547</v>
      </c>
      <c r="L75" s="154">
        <f>SUM(L76:L86)</f>
        <v>4640</v>
      </c>
      <c r="M75" s="154">
        <f>SUM(M76:M86)</f>
        <v>4640</v>
      </c>
      <c r="N75" s="154">
        <f t="shared" si="5"/>
        <v>181547</v>
      </c>
      <c r="O75" s="154">
        <f>SUM(O76:O86)</f>
        <v>181547</v>
      </c>
      <c r="P75" s="154">
        <f>SUM(P76:P86)</f>
        <v>0</v>
      </c>
      <c r="Q75" s="154">
        <f>SUM(Q76:Q86)</f>
        <v>0</v>
      </c>
    </row>
    <row r="76" spans="1:17" s="168" customFormat="1" ht="13.5" customHeight="1">
      <c r="A76" s="24"/>
      <c r="B76" s="14" t="s">
        <v>237</v>
      </c>
      <c r="C76" s="282" t="s">
        <v>164</v>
      </c>
      <c r="D76" s="7">
        <v>49324</v>
      </c>
      <c r="E76" s="16">
        <v>53163</v>
      </c>
      <c r="F76" s="16">
        <v>0</v>
      </c>
      <c r="G76" s="16">
        <v>0</v>
      </c>
      <c r="H76" s="16">
        <v>34560</v>
      </c>
      <c r="I76" s="16">
        <v>0</v>
      </c>
      <c r="J76" s="16">
        <v>0</v>
      </c>
      <c r="K76" s="7">
        <v>49200</v>
      </c>
      <c r="L76" s="7">
        <v>4640</v>
      </c>
      <c r="M76" s="16"/>
      <c r="N76" s="7">
        <f t="shared" si="5"/>
        <v>53840</v>
      </c>
      <c r="O76" s="16">
        <f>N76</f>
        <v>53840</v>
      </c>
      <c r="P76" s="20">
        <v>0</v>
      </c>
      <c r="Q76" s="20">
        <v>0</v>
      </c>
    </row>
    <row r="77" spans="1:17" s="168" customFormat="1" ht="14.25" customHeight="1">
      <c r="A77" s="24"/>
      <c r="B77" s="14" t="s">
        <v>239</v>
      </c>
      <c r="C77" s="282" t="s">
        <v>165</v>
      </c>
      <c r="D77" s="7"/>
      <c r="E77" s="16"/>
      <c r="F77" s="16"/>
      <c r="G77" s="16"/>
      <c r="H77" s="16">
        <v>22800</v>
      </c>
      <c r="I77" s="16">
        <v>0</v>
      </c>
      <c r="J77" s="16">
        <v>0</v>
      </c>
      <c r="K77" s="7">
        <v>78200</v>
      </c>
      <c r="L77" s="7"/>
      <c r="M77" s="16">
        <v>4640</v>
      </c>
      <c r="N77" s="7">
        <f t="shared" si="5"/>
        <v>73560</v>
      </c>
      <c r="O77" s="16">
        <f aca="true" t="shared" si="19" ref="O77:O86">N77</f>
        <v>73560</v>
      </c>
      <c r="P77" s="20">
        <v>0</v>
      </c>
      <c r="Q77" s="20">
        <v>0</v>
      </c>
    </row>
    <row r="78" spans="1:17" s="168" customFormat="1" ht="14.25" customHeight="1">
      <c r="A78" s="24"/>
      <c r="B78" s="14" t="s">
        <v>241</v>
      </c>
      <c r="C78" s="282" t="s">
        <v>242</v>
      </c>
      <c r="D78" s="7">
        <v>2600</v>
      </c>
      <c r="E78" s="16">
        <v>4103</v>
      </c>
      <c r="F78" s="16">
        <v>0</v>
      </c>
      <c r="G78" s="16">
        <v>0</v>
      </c>
      <c r="H78" s="16">
        <v>4508</v>
      </c>
      <c r="I78" s="16">
        <v>0</v>
      </c>
      <c r="J78" s="16">
        <v>0</v>
      </c>
      <c r="K78" s="7">
        <v>8864</v>
      </c>
      <c r="L78" s="7"/>
      <c r="M78" s="16"/>
      <c r="N78" s="7">
        <f t="shared" si="5"/>
        <v>8864</v>
      </c>
      <c r="O78" s="16">
        <f t="shared" si="19"/>
        <v>8864</v>
      </c>
      <c r="P78" s="20">
        <v>0</v>
      </c>
      <c r="Q78" s="20">
        <v>0</v>
      </c>
    </row>
    <row r="79" spans="1:17" s="168" customFormat="1" ht="12" customHeight="1">
      <c r="A79" s="24"/>
      <c r="B79" s="21" t="s">
        <v>299</v>
      </c>
      <c r="C79" s="282" t="s">
        <v>271</v>
      </c>
      <c r="D79" s="7">
        <v>10556</v>
      </c>
      <c r="E79" s="16">
        <v>10240</v>
      </c>
      <c r="F79" s="16">
        <v>0</v>
      </c>
      <c r="G79" s="16">
        <v>0</v>
      </c>
      <c r="H79" s="16">
        <v>11254</v>
      </c>
      <c r="I79" s="16">
        <v>0</v>
      </c>
      <c r="J79" s="16">
        <v>0</v>
      </c>
      <c r="K79" s="7">
        <v>24786</v>
      </c>
      <c r="L79" s="7"/>
      <c r="M79" s="16"/>
      <c r="N79" s="7">
        <f t="shared" si="5"/>
        <v>24786</v>
      </c>
      <c r="O79" s="16">
        <f t="shared" si="19"/>
        <v>24786</v>
      </c>
      <c r="P79" s="20">
        <v>0</v>
      </c>
      <c r="Q79" s="20">
        <v>0</v>
      </c>
    </row>
    <row r="80" spans="1:17" s="168" customFormat="1" ht="14.25" customHeight="1">
      <c r="A80" s="24"/>
      <c r="B80" s="21" t="s">
        <v>245</v>
      </c>
      <c r="C80" s="282" t="s">
        <v>246</v>
      </c>
      <c r="D80" s="7"/>
      <c r="E80" s="16">
        <v>1403</v>
      </c>
      <c r="F80" s="16">
        <v>0</v>
      </c>
      <c r="G80" s="16">
        <v>0</v>
      </c>
      <c r="H80" s="16">
        <v>1516</v>
      </c>
      <c r="I80" s="16">
        <v>0</v>
      </c>
      <c r="J80" s="16">
        <v>0</v>
      </c>
      <c r="K80" s="7">
        <v>3338</v>
      </c>
      <c r="L80" s="7"/>
      <c r="M80" s="16"/>
      <c r="N80" s="7">
        <f t="shared" si="5"/>
        <v>3338</v>
      </c>
      <c r="O80" s="16">
        <f t="shared" si="19"/>
        <v>3338</v>
      </c>
      <c r="P80" s="20">
        <v>0</v>
      </c>
      <c r="Q80" s="20">
        <v>0</v>
      </c>
    </row>
    <row r="81" spans="1:17" s="168" customFormat="1" ht="14.25" customHeight="1">
      <c r="A81" s="24"/>
      <c r="B81" s="14" t="s">
        <v>247</v>
      </c>
      <c r="C81" s="282" t="s">
        <v>274</v>
      </c>
      <c r="D81" s="7"/>
      <c r="E81" s="16">
        <v>2270</v>
      </c>
      <c r="F81" s="16">
        <v>0</v>
      </c>
      <c r="G81" s="16">
        <v>0</v>
      </c>
      <c r="H81" s="16">
        <v>300</v>
      </c>
      <c r="I81" s="16">
        <v>0</v>
      </c>
      <c r="J81" s="16">
        <v>0</v>
      </c>
      <c r="K81" s="7">
        <v>3000</v>
      </c>
      <c r="L81" s="7"/>
      <c r="M81" s="16"/>
      <c r="N81" s="7">
        <f t="shared" si="5"/>
        <v>3000</v>
      </c>
      <c r="O81" s="16">
        <f t="shared" si="19"/>
        <v>3000</v>
      </c>
      <c r="P81" s="20">
        <v>0</v>
      </c>
      <c r="Q81" s="20">
        <v>0</v>
      </c>
    </row>
    <row r="82" spans="1:17" s="168" customFormat="1" ht="12.75" customHeight="1">
      <c r="A82" s="24"/>
      <c r="B82" s="14" t="s">
        <v>249</v>
      </c>
      <c r="C82" s="282" t="s">
        <v>368</v>
      </c>
      <c r="D82" s="7"/>
      <c r="E82" s="16"/>
      <c r="F82" s="16"/>
      <c r="G82" s="16"/>
      <c r="H82" s="16"/>
      <c r="I82" s="16"/>
      <c r="J82" s="16"/>
      <c r="K82" s="7">
        <v>2277</v>
      </c>
      <c r="L82" s="7"/>
      <c r="M82" s="16">
        <v>0</v>
      </c>
      <c r="N82" s="7">
        <f t="shared" si="5"/>
        <v>2277</v>
      </c>
      <c r="O82" s="16">
        <f t="shared" si="19"/>
        <v>2277</v>
      </c>
      <c r="P82" s="20"/>
      <c r="Q82" s="20"/>
    </row>
    <row r="83" spans="1:17" s="168" customFormat="1" ht="13.5" customHeight="1">
      <c r="A83" s="24"/>
      <c r="B83" s="14" t="s">
        <v>253</v>
      </c>
      <c r="C83" s="282" t="s">
        <v>254</v>
      </c>
      <c r="D83" s="7"/>
      <c r="E83" s="16">
        <v>4000</v>
      </c>
      <c r="F83" s="16">
        <v>0</v>
      </c>
      <c r="G83" s="16">
        <v>0</v>
      </c>
      <c r="H83" s="16">
        <v>3097</v>
      </c>
      <c r="I83" s="16">
        <v>0</v>
      </c>
      <c r="J83" s="16">
        <v>0</v>
      </c>
      <c r="K83" s="7">
        <v>6125</v>
      </c>
      <c r="L83" s="7">
        <v>0</v>
      </c>
      <c r="M83" s="16"/>
      <c r="N83" s="7">
        <f t="shared" si="5"/>
        <v>6125</v>
      </c>
      <c r="O83" s="16">
        <f t="shared" si="19"/>
        <v>6125</v>
      </c>
      <c r="P83" s="20">
        <v>0</v>
      </c>
      <c r="Q83" s="20">
        <v>0</v>
      </c>
    </row>
    <row r="84" spans="1:17" s="168" customFormat="1" ht="13.5" customHeight="1">
      <c r="A84" s="24"/>
      <c r="B84" s="14" t="s">
        <v>255</v>
      </c>
      <c r="C84" s="282" t="s">
        <v>256</v>
      </c>
      <c r="D84" s="7"/>
      <c r="E84" s="16">
        <v>2500</v>
      </c>
      <c r="F84" s="16">
        <v>0</v>
      </c>
      <c r="G84" s="16">
        <v>0</v>
      </c>
      <c r="H84" s="16">
        <v>2478</v>
      </c>
      <c r="I84" s="16">
        <v>0</v>
      </c>
      <c r="J84" s="16">
        <v>0</v>
      </c>
      <c r="K84" s="7">
        <v>500</v>
      </c>
      <c r="L84" s="7"/>
      <c r="M84" s="16"/>
      <c r="N84" s="7">
        <f t="shared" si="5"/>
        <v>500</v>
      </c>
      <c r="O84" s="16">
        <f t="shared" si="19"/>
        <v>500</v>
      </c>
      <c r="P84" s="20">
        <v>0</v>
      </c>
      <c r="Q84" s="20">
        <v>0</v>
      </c>
    </row>
    <row r="85" spans="1:17" s="168" customFormat="1" ht="13.5" customHeight="1">
      <c r="A85" s="24"/>
      <c r="B85" s="14" t="s">
        <v>257</v>
      </c>
      <c r="C85" s="282" t="s">
        <v>258</v>
      </c>
      <c r="D85" s="7"/>
      <c r="E85" s="16"/>
      <c r="F85" s="16"/>
      <c r="G85" s="16"/>
      <c r="H85" s="16"/>
      <c r="I85" s="16"/>
      <c r="J85" s="16"/>
      <c r="K85" s="7">
        <v>2200</v>
      </c>
      <c r="L85" s="7"/>
      <c r="M85" s="16"/>
      <c r="N85" s="7">
        <f t="shared" si="5"/>
        <v>2200</v>
      </c>
      <c r="O85" s="16">
        <f t="shared" si="19"/>
        <v>2200</v>
      </c>
      <c r="P85" s="20">
        <v>0</v>
      </c>
      <c r="Q85" s="20">
        <v>0</v>
      </c>
    </row>
    <row r="86" spans="1:17" s="168" customFormat="1" ht="14.25" customHeight="1">
      <c r="A86" s="24"/>
      <c r="B86" s="14" t="s">
        <v>259</v>
      </c>
      <c r="C86" s="282" t="s">
        <v>260</v>
      </c>
      <c r="D86" s="7"/>
      <c r="E86" s="16">
        <v>1241</v>
      </c>
      <c r="F86" s="16">
        <v>0</v>
      </c>
      <c r="G86" s="16">
        <v>0</v>
      </c>
      <c r="H86" s="16">
        <v>1353</v>
      </c>
      <c r="I86" s="16">
        <v>0</v>
      </c>
      <c r="J86" s="16">
        <v>0</v>
      </c>
      <c r="K86" s="7">
        <v>3057</v>
      </c>
      <c r="L86" s="7">
        <v>0</v>
      </c>
      <c r="M86" s="16"/>
      <c r="N86" s="7">
        <f t="shared" si="5"/>
        <v>3057</v>
      </c>
      <c r="O86" s="16">
        <f t="shared" si="19"/>
        <v>3057</v>
      </c>
      <c r="P86" s="20">
        <v>0</v>
      </c>
      <c r="Q86" s="20">
        <v>0</v>
      </c>
    </row>
    <row r="87" spans="1:17" s="168" customFormat="1" ht="18.75" customHeight="1">
      <c r="A87" s="158" t="s">
        <v>300</v>
      </c>
      <c r="B87" s="162"/>
      <c r="C87" s="164" t="s">
        <v>301</v>
      </c>
      <c r="D87" s="159" t="e">
        <f>D88+D100+D107+D128+D141</f>
        <v>#REF!</v>
      </c>
      <c r="E87" s="159" t="e">
        <f>E88+E100+E107+E128+E141</f>
        <v>#REF!</v>
      </c>
      <c r="F87" s="159" t="e">
        <f>F88+F100+F107+F128+F141</f>
        <v>#REF!</v>
      </c>
      <c r="G87" s="159" t="e">
        <f>G88+G100+G107+G128+G141</f>
        <v>#REF!</v>
      </c>
      <c r="H87" s="159" t="e">
        <f>H88+H100+H107+H128+H141+#REF!</f>
        <v>#REF!</v>
      </c>
      <c r="I87" s="159" t="e">
        <f>I88+I100+I107+I128+I141+#REF!</f>
        <v>#REF!</v>
      </c>
      <c r="J87" s="159" t="e">
        <f>J88+J100+J107+J128+J141+#REF!</f>
        <v>#REF!</v>
      </c>
      <c r="K87" s="159">
        <f>K88+K98+K100+K107+K128+K136+K141</f>
        <v>2561011</v>
      </c>
      <c r="L87" s="159">
        <f>L88+L98+L100+L107+L128+L136+L141</f>
        <v>1600</v>
      </c>
      <c r="M87" s="159">
        <f>M88+M98+M100+M107+M128+M136+M141</f>
        <v>1600</v>
      </c>
      <c r="N87" s="159">
        <f aca="true" t="shared" si="20" ref="N87:N141">K87+L87-M87</f>
        <v>2561011</v>
      </c>
      <c r="O87" s="159">
        <f>O88+O98+O100+O107+O128+O136+O141</f>
        <v>115748</v>
      </c>
      <c r="P87" s="159">
        <f>P88+P98+P100+P107+P128+P136+P141</f>
        <v>2389883</v>
      </c>
      <c r="Q87" s="159">
        <f>Q88+Q98+Q100+Q107+Q128+Q136+Q141</f>
        <v>55380</v>
      </c>
    </row>
    <row r="88" spans="1:17" s="168" customFormat="1" ht="18" customHeight="1">
      <c r="A88" s="181" t="s">
        <v>302</v>
      </c>
      <c r="B88" s="192"/>
      <c r="C88" s="182" t="s">
        <v>303</v>
      </c>
      <c r="D88" s="154" t="e">
        <f>D89+D90+D91+#REF!</f>
        <v>#REF!</v>
      </c>
      <c r="E88" s="154" t="e">
        <f>E89+E90+E91+E92+#REF!+E94</f>
        <v>#REF!</v>
      </c>
      <c r="F88" s="154" t="e">
        <f>F89+F90+F91+F92+#REF!+F94</f>
        <v>#REF!</v>
      </c>
      <c r="G88" s="154" t="e">
        <f>G89+G90+G91+G92+#REF!+G94</f>
        <v>#REF!</v>
      </c>
      <c r="H88" s="154" t="e">
        <f>H89+H90+H91+H92+#REF!+H94+H95+H96+H97+#REF!</f>
        <v>#REF!</v>
      </c>
      <c r="I88" s="154" t="e">
        <f>I89+I90+I91+I92+#REF!+I94+I95+I96+I97+#REF!</f>
        <v>#REF!</v>
      </c>
      <c r="J88" s="154" t="e">
        <f>J89+J90+J91+J92+#REF!+J94+J95+J96+J97+#REF!</f>
        <v>#REF!</v>
      </c>
      <c r="K88" s="154">
        <f>SUM(K89:K97)</f>
        <v>102748</v>
      </c>
      <c r="L88" s="154">
        <f>SUM(L89:L97)</f>
        <v>0</v>
      </c>
      <c r="M88" s="154">
        <f>SUM(M89:M97)</f>
        <v>0</v>
      </c>
      <c r="N88" s="154">
        <f t="shared" si="20"/>
        <v>102748</v>
      </c>
      <c r="O88" s="154">
        <f>SUM(O89:O97)</f>
        <v>102748</v>
      </c>
      <c r="P88" s="154">
        <f>SUM(P89:P97)</f>
        <v>0</v>
      </c>
      <c r="Q88" s="154">
        <f>SUM(Q89:Q97)</f>
        <v>0</v>
      </c>
    </row>
    <row r="89" spans="1:17" s="168" customFormat="1" ht="14.25" customHeight="1">
      <c r="A89" s="24"/>
      <c r="B89" s="14" t="s">
        <v>237</v>
      </c>
      <c r="C89" s="282" t="s">
        <v>164</v>
      </c>
      <c r="D89" s="7">
        <v>90000</v>
      </c>
      <c r="E89" s="16">
        <v>90000</v>
      </c>
      <c r="F89" s="16">
        <v>0</v>
      </c>
      <c r="G89" s="16">
        <v>0</v>
      </c>
      <c r="H89" s="16">
        <v>51600</v>
      </c>
      <c r="I89" s="16">
        <v>0</v>
      </c>
      <c r="J89" s="16">
        <v>0</v>
      </c>
      <c r="K89" s="7">
        <v>70400</v>
      </c>
      <c r="L89" s="7"/>
      <c r="M89" s="16"/>
      <c r="N89" s="7">
        <f t="shared" si="20"/>
        <v>70400</v>
      </c>
      <c r="O89" s="16">
        <f aca="true" t="shared" si="21" ref="O89:O97">N89</f>
        <v>70400</v>
      </c>
      <c r="P89" s="20">
        <v>0</v>
      </c>
      <c r="Q89" s="20">
        <v>0</v>
      </c>
    </row>
    <row r="90" spans="1:17" s="168" customFormat="1" ht="15.75" customHeight="1">
      <c r="A90" s="24"/>
      <c r="B90" s="14" t="s">
        <v>241</v>
      </c>
      <c r="C90" s="282" t="s">
        <v>242</v>
      </c>
      <c r="D90" s="7">
        <v>6390</v>
      </c>
      <c r="E90" s="16">
        <v>6390</v>
      </c>
      <c r="F90" s="16">
        <v>0</v>
      </c>
      <c r="G90" s="16">
        <v>0</v>
      </c>
      <c r="H90" s="16">
        <v>3825</v>
      </c>
      <c r="I90" s="16">
        <v>0</v>
      </c>
      <c r="J90" s="16">
        <v>0</v>
      </c>
      <c r="K90" s="7">
        <v>4712</v>
      </c>
      <c r="L90" s="7"/>
      <c r="M90" s="16"/>
      <c r="N90" s="7">
        <f t="shared" si="20"/>
        <v>4712</v>
      </c>
      <c r="O90" s="16">
        <f t="shared" si="21"/>
        <v>4712</v>
      </c>
      <c r="P90" s="20">
        <v>0</v>
      </c>
      <c r="Q90" s="20">
        <v>0</v>
      </c>
    </row>
    <row r="91" spans="1:17" s="168" customFormat="1" ht="16.5" customHeight="1">
      <c r="A91" s="24"/>
      <c r="B91" s="21" t="s">
        <v>299</v>
      </c>
      <c r="C91" s="282" t="s">
        <v>304</v>
      </c>
      <c r="D91" s="7">
        <v>19597</v>
      </c>
      <c r="E91" s="16">
        <v>17235</v>
      </c>
      <c r="F91" s="16">
        <v>0</v>
      </c>
      <c r="G91" s="16">
        <v>0</v>
      </c>
      <c r="H91" s="16">
        <v>9550</v>
      </c>
      <c r="I91" s="16">
        <v>0</v>
      </c>
      <c r="J91" s="16">
        <v>0</v>
      </c>
      <c r="K91" s="7">
        <v>12942</v>
      </c>
      <c r="L91" s="7"/>
      <c r="M91" s="16"/>
      <c r="N91" s="7">
        <f t="shared" si="20"/>
        <v>12942</v>
      </c>
      <c r="O91" s="16">
        <f t="shared" si="21"/>
        <v>12942</v>
      </c>
      <c r="P91" s="20">
        <v>0</v>
      </c>
      <c r="Q91" s="20">
        <v>0</v>
      </c>
    </row>
    <row r="92" spans="1:17" s="168" customFormat="1" ht="15" customHeight="1">
      <c r="A92" s="24"/>
      <c r="B92" s="21" t="s">
        <v>245</v>
      </c>
      <c r="C92" s="282" t="s">
        <v>246</v>
      </c>
      <c r="D92" s="7"/>
      <c r="E92" s="16">
        <v>2362</v>
      </c>
      <c r="F92" s="16">
        <v>0</v>
      </c>
      <c r="G92" s="16">
        <v>0</v>
      </c>
      <c r="H92" s="16">
        <v>1358</v>
      </c>
      <c r="I92" s="16">
        <v>0</v>
      </c>
      <c r="J92" s="16">
        <v>0</v>
      </c>
      <c r="K92" s="7">
        <v>1840</v>
      </c>
      <c r="L92" s="7"/>
      <c r="M92" s="16"/>
      <c r="N92" s="7">
        <f t="shared" si="20"/>
        <v>1840</v>
      </c>
      <c r="O92" s="16">
        <f t="shared" si="21"/>
        <v>1840</v>
      </c>
      <c r="P92" s="20">
        <v>0</v>
      </c>
      <c r="Q92" s="20">
        <v>0</v>
      </c>
    </row>
    <row r="93" spans="1:17" s="168" customFormat="1" ht="15" customHeight="1">
      <c r="A93" s="24"/>
      <c r="B93" s="14" t="s">
        <v>92</v>
      </c>
      <c r="C93" s="282" t="s">
        <v>106</v>
      </c>
      <c r="D93" s="7"/>
      <c r="E93" s="16"/>
      <c r="F93" s="16"/>
      <c r="G93" s="16"/>
      <c r="H93" s="16"/>
      <c r="I93" s="16"/>
      <c r="J93" s="16"/>
      <c r="K93" s="7">
        <v>7160</v>
      </c>
      <c r="L93" s="7"/>
      <c r="M93" s="16"/>
      <c r="N93" s="7">
        <f t="shared" si="20"/>
        <v>7160</v>
      </c>
      <c r="O93" s="16">
        <f t="shared" si="21"/>
        <v>7160</v>
      </c>
      <c r="P93" s="20">
        <v>0</v>
      </c>
      <c r="Q93" s="20">
        <v>0</v>
      </c>
    </row>
    <row r="94" spans="1:17" s="168" customFormat="1" ht="15" customHeight="1">
      <c r="A94" s="24"/>
      <c r="B94" s="14" t="s">
        <v>247</v>
      </c>
      <c r="C94" s="282" t="s">
        <v>248</v>
      </c>
      <c r="D94" s="7"/>
      <c r="E94" s="16">
        <v>3103</v>
      </c>
      <c r="F94" s="16">
        <v>0</v>
      </c>
      <c r="G94" s="16">
        <v>0</v>
      </c>
      <c r="H94" s="16">
        <v>1691</v>
      </c>
      <c r="I94" s="16">
        <v>0</v>
      </c>
      <c r="J94" s="16">
        <v>0</v>
      </c>
      <c r="K94" s="7">
        <v>1060</v>
      </c>
      <c r="L94" s="7"/>
      <c r="M94" s="16"/>
      <c r="N94" s="7">
        <f t="shared" si="20"/>
        <v>1060</v>
      </c>
      <c r="O94" s="16">
        <f t="shared" si="21"/>
        <v>1060</v>
      </c>
      <c r="P94" s="20">
        <v>0</v>
      </c>
      <c r="Q94" s="20">
        <v>0</v>
      </c>
    </row>
    <row r="95" spans="1:17" s="168" customFormat="1" ht="14.25" customHeight="1">
      <c r="A95" s="24"/>
      <c r="B95" s="14" t="s">
        <v>253</v>
      </c>
      <c r="C95" s="282" t="s">
        <v>370</v>
      </c>
      <c r="D95" s="7"/>
      <c r="E95" s="16"/>
      <c r="F95" s="16"/>
      <c r="G95" s="16"/>
      <c r="H95" s="16">
        <v>17600</v>
      </c>
      <c r="I95" s="16">
        <v>0</v>
      </c>
      <c r="J95" s="16">
        <v>0</v>
      </c>
      <c r="K95" s="7">
        <v>1400</v>
      </c>
      <c r="L95" s="7"/>
      <c r="M95" s="16"/>
      <c r="N95" s="7">
        <f t="shared" si="20"/>
        <v>1400</v>
      </c>
      <c r="O95" s="16">
        <f t="shared" si="21"/>
        <v>1400</v>
      </c>
      <c r="P95" s="20">
        <v>0</v>
      </c>
      <c r="Q95" s="20">
        <v>0</v>
      </c>
    </row>
    <row r="96" spans="1:17" s="168" customFormat="1" ht="15" customHeight="1">
      <c r="A96" s="24"/>
      <c r="B96" s="14" t="s">
        <v>255</v>
      </c>
      <c r="C96" s="282" t="s">
        <v>256</v>
      </c>
      <c r="D96" s="7"/>
      <c r="E96" s="16"/>
      <c r="F96" s="16"/>
      <c r="G96" s="16"/>
      <c r="H96" s="16">
        <v>2225</v>
      </c>
      <c r="I96" s="16">
        <v>0</v>
      </c>
      <c r="J96" s="16">
        <v>0</v>
      </c>
      <c r="K96" s="7">
        <v>600</v>
      </c>
      <c r="L96" s="7"/>
      <c r="M96" s="16"/>
      <c r="N96" s="7">
        <f t="shared" si="20"/>
        <v>600</v>
      </c>
      <c r="O96" s="16">
        <f t="shared" si="21"/>
        <v>600</v>
      </c>
      <c r="P96" s="20">
        <v>0</v>
      </c>
      <c r="Q96" s="20">
        <v>0</v>
      </c>
    </row>
    <row r="97" spans="1:17" s="168" customFormat="1" ht="15" customHeight="1">
      <c r="A97" s="24"/>
      <c r="B97" s="14" t="s">
        <v>259</v>
      </c>
      <c r="C97" s="282" t="s">
        <v>260</v>
      </c>
      <c r="D97" s="7"/>
      <c r="E97" s="16"/>
      <c r="F97" s="16"/>
      <c r="G97" s="16"/>
      <c r="H97" s="86">
        <v>1250</v>
      </c>
      <c r="I97" s="86">
        <v>0</v>
      </c>
      <c r="J97" s="86">
        <v>0</v>
      </c>
      <c r="K97" s="7">
        <v>2634</v>
      </c>
      <c r="L97" s="63"/>
      <c r="M97" s="86"/>
      <c r="N97" s="7">
        <f t="shared" si="20"/>
        <v>2634</v>
      </c>
      <c r="O97" s="16">
        <f t="shared" si="21"/>
        <v>2634</v>
      </c>
      <c r="P97" s="20">
        <v>0</v>
      </c>
      <c r="Q97" s="20">
        <v>0</v>
      </c>
    </row>
    <row r="98" spans="1:17" s="167" customFormat="1" ht="17.25" customHeight="1">
      <c r="A98" s="181" t="s">
        <v>662</v>
      </c>
      <c r="B98" s="192"/>
      <c r="C98" s="182" t="s">
        <v>160</v>
      </c>
      <c r="D98" s="154"/>
      <c r="E98" s="154"/>
      <c r="F98" s="154"/>
      <c r="G98" s="154"/>
      <c r="H98" s="154"/>
      <c r="I98" s="154"/>
      <c r="J98" s="154"/>
      <c r="K98" s="154">
        <f>K99</f>
        <v>3380</v>
      </c>
      <c r="L98" s="154">
        <f>L99</f>
        <v>0</v>
      </c>
      <c r="M98" s="154">
        <f>M99</f>
        <v>0</v>
      </c>
      <c r="N98" s="154">
        <f t="shared" si="20"/>
        <v>3380</v>
      </c>
      <c r="O98" s="154">
        <f>O99</f>
        <v>0</v>
      </c>
      <c r="P98" s="152">
        <f>P99</f>
        <v>0</v>
      </c>
      <c r="Q98" s="152">
        <f>Q99</f>
        <v>3380</v>
      </c>
    </row>
    <row r="99" spans="1:17" s="168" customFormat="1" ht="21.75" customHeight="1">
      <c r="A99" s="24"/>
      <c r="B99" s="14" t="s">
        <v>663</v>
      </c>
      <c r="C99" s="119" t="s">
        <v>664</v>
      </c>
      <c r="D99" s="7"/>
      <c r="E99" s="16"/>
      <c r="F99" s="16"/>
      <c r="G99" s="16"/>
      <c r="H99" s="16"/>
      <c r="I99" s="16"/>
      <c r="J99" s="16"/>
      <c r="K99" s="7">
        <v>3380</v>
      </c>
      <c r="L99" s="7"/>
      <c r="M99" s="16"/>
      <c r="N99" s="7">
        <f t="shared" si="20"/>
        <v>3380</v>
      </c>
      <c r="O99" s="16">
        <v>0</v>
      </c>
      <c r="P99" s="20">
        <v>0</v>
      </c>
      <c r="Q99" s="20">
        <f>N99</f>
        <v>3380</v>
      </c>
    </row>
    <row r="100" spans="1:17" s="167" customFormat="1" ht="16.5" customHeight="1">
      <c r="A100" s="181" t="s">
        <v>306</v>
      </c>
      <c r="B100" s="192"/>
      <c r="C100" s="182" t="s">
        <v>307</v>
      </c>
      <c r="D100" s="154">
        <f>D101</f>
        <v>134900</v>
      </c>
      <c r="E100" s="154" t="e">
        <f>E101+#REF!+#REF!+#REF!</f>
        <v>#REF!</v>
      </c>
      <c r="F100" s="154" t="e">
        <f>F101+#REF!+#REF!+#REF!</f>
        <v>#REF!</v>
      </c>
      <c r="G100" s="154" t="e">
        <f>G101+#REF!+#REF!+#REF!</f>
        <v>#REF!</v>
      </c>
      <c r="H100" s="154">
        <f>H101+H102+H104</f>
        <v>86060</v>
      </c>
      <c r="I100" s="154">
        <f>I101+I102+I104</f>
        <v>0</v>
      </c>
      <c r="J100" s="154">
        <f>J101+J102+J104</f>
        <v>0</v>
      </c>
      <c r="K100" s="154">
        <f>SUM(K101:K106)</f>
        <v>82800</v>
      </c>
      <c r="L100" s="154">
        <f>SUM(L101:L106)</f>
        <v>0</v>
      </c>
      <c r="M100" s="154">
        <f>SUM(M101:M106)</f>
        <v>0</v>
      </c>
      <c r="N100" s="154">
        <f t="shared" si="20"/>
        <v>82800</v>
      </c>
      <c r="O100" s="154">
        <f>SUM(O101:O106)</f>
        <v>0</v>
      </c>
      <c r="P100" s="154">
        <f>SUM(P101:P106)</f>
        <v>82800</v>
      </c>
      <c r="Q100" s="154">
        <f>SUM(Q101:Q106)</f>
        <v>0</v>
      </c>
    </row>
    <row r="101" spans="1:17" s="168" customFormat="1" ht="12.75" customHeight="1">
      <c r="A101" s="24"/>
      <c r="B101" s="14" t="s">
        <v>235</v>
      </c>
      <c r="C101" s="282" t="s">
        <v>308</v>
      </c>
      <c r="D101" s="7">
        <v>134900</v>
      </c>
      <c r="E101" s="16">
        <v>191600</v>
      </c>
      <c r="F101" s="16">
        <v>0</v>
      </c>
      <c r="G101" s="16">
        <v>0</v>
      </c>
      <c r="H101" s="16">
        <v>74690</v>
      </c>
      <c r="I101" s="16">
        <v>0</v>
      </c>
      <c r="J101" s="16">
        <v>0</v>
      </c>
      <c r="K101" s="7">
        <v>60000</v>
      </c>
      <c r="L101" s="7"/>
      <c r="M101" s="16"/>
      <c r="N101" s="7">
        <f t="shared" si="20"/>
        <v>60000</v>
      </c>
      <c r="O101" s="16">
        <v>0</v>
      </c>
      <c r="P101" s="20">
        <f aca="true" t="shared" si="22" ref="P101:P106">N101</f>
        <v>60000</v>
      </c>
      <c r="Q101" s="20">
        <v>0</v>
      </c>
    </row>
    <row r="102" spans="1:17" s="168" customFormat="1" ht="12.75" customHeight="1">
      <c r="A102" s="24"/>
      <c r="B102" s="14" t="s">
        <v>247</v>
      </c>
      <c r="C102" s="282" t="s">
        <v>248</v>
      </c>
      <c r="D102" s="7"/>
      <c r="E102" s="16"/>
      <c r="F102" s="16"/>
      <c r="G102" s="16"/>
      <c r="H102" s="16">
        <v>3670</v>
      </c>
      <c r="I102" s="16">
        <v>0</v>
      </c>
      <c r="J102" s="16">
        <v>0</v>
      </c>
      <c r="K102" s="7">
        <v>10100</v>
      </c>
      <c r="L102" s="7"/>
      <c r="M102" s="16">
        <v>0</v>
      </c>
      <c r="N102" s="7">
        <f t="shared" si="20"/>
        <v>10100</v>
      </c>
      <c r="O102" s="16">
        <v>0</v>
      </c>
      <c r="P102" s="20">
        <f t="shared" si="22"/>
        <v>10100</v>
      </c>
      <c r="Q102" s="20">
        <v>0</v>
      </c>
    </row>
    <row r="103" spans="1:17" s="168" customFormat="1" ht="12.75" customHeight="1">
      <c r="A103" s="24"/>
      <c r="B103" s="14" t="s">
        <v>249</v>
      </c>
      <c r="C103" s="282" t="s">
        <v>368</v>
      </c>
      <c r="D103" s="7"/>
      <c r="E103" s="16"/>
      <c r="F103" s="16"/>
      <c r="G103" s="16"/>
      <c r="H103" s="16"/>
      <c r="I103" s="16"/>
      <c r="J103" s="16"/>
      <c r="K103" s="7">
        <v>5800</v>
      </c>
      <c r="L103" s="7">
        <v>0</v>
      </c>
      <c r="M103" s="16">
        <v>0</v>
      </c>
      <c r="N103" s="7">
        <f t="shared" si="20"/>
        <v>5800</v>
      </c>
      <c r="O103" s="16">
        <v>0</v>
      </c>
      <c r="P103" s="20">
        <f t="shared" si="22"/>
        <v>5800</v>
      </c>
      <c r="Q103" s="20">
        <v>0</v>
      </c>
    </row>
    <row r="104" spans="1:17" s="168" customFormat="1" ht="12.75" customHeight="1">
      <c r="A104" s="24"/>
      <c r="B104" s="14" t="s">
        <v>253</v>
      </c>
      <c r="C104" s="282" t="s">
        <v>370</v>
      </c>
      <c r="D104" s="7"/>
      <c r="E104" s="16"/>
      <c r="F104" s="16"/>
      <c r="G104" s="16"/>
      <c r="H104" s="16">
        <v>7700</v>
      </c>
      <c r="I104" s="16">
        <v>0</v>
      </c>
      <c r="J104" s="16">
        <v>0</v>
      </c>
      <c r="K104" s="7">
        <v>5400</v>
      </c>
      <c r="L104" s="7"/>
      <c r="M104" s="16">
        <v>0</v>
      </c>
      <c r="N104" s="7">
        <f t="shared" si="20"/>
        <v>5400</v>
      </c>
      <c r="O104" s="16">
        <v>0</v>
      </c>
      <c r="P104" s="20">
        <f t="shared" si="22"/>
        <v>5400</v>
      </c>
      <c r="Q104" s="20">
        <v>0</v>
      </c>
    </row>
    <row r="105" spans="1:17" s="168" customFormat="1" ht="12.75" customHeight="1">
      <c r="A105" s="24"/>
      <c r="B105" s="14" t="s">
        <v>255</v>
      </c>
      <c r="C105" s="282" t="s">
        <v>256</v>
      </c>
      <c r="D105" s="7"/>
      <c r="E105" s="16"/>
      <c r="F105" s="16"/>
      <c r="G105" s="16"/>
      <c r="H105" s="16"/>
      <c r="I105" s="16"/>
      <c r="J105" s="16"/>
      <c r="K105" s="7">
        <v>500</v>
      </c>
      <c r="L105" s="7"/>
      <c r="M105" s="16"/>
      <c r="N105" s="7">
        <f t="shared" si="20"/>
        <v>500</v>
      </c>
      <c r="O105" s="16">
        <v>0</v>
      </c>
      <c r="P105" s="20">
        <f t="shared" si="22"/>
        <v>500</v>
      </c>
      <c r="Q105" s="20">
        <v>0</v>
      </c>
    </row>
    <row r="106" spans="1:17" s="168" customFormat="1" ht="12.75" customHeight="1">
      <c r="A106" s="24"/>
      <c r="B106" s="14" t="s">
        <v>191</v>
      </c>
      <c r="C106" s="282" t="s">
        <v>192</v>
      </c>
      <c r="D106" s="7"/>
      <c r="E106" s="16"/>
      <c r="F106" s="16"/>
      <c r="G106" s="16"/>
      <c r="H106" s="16"/>
      <c r="I106" s="16"/>
      <c r="J106" s="16"/>
      <c r="K106" s="7">
        <v>1000</v>
      </c>
      <c r="L106" s="7"/>
      <c r="M106" s="16"/>
      <c r="N106" s="7">
        <f t="shared" si="20"/>
        <v>1000</v>
      </c>
      <c r="O106" s="16">
        <v>0</v>
      </c>
      <c r="P106" s="20">
        <f t="shared" si="22"/>
        <v>1000</v>
      </c>
      <c r="Q106" s="20">
        <v>0</v>
      </c>
    </row>
    <row r="107" spans="1:17" s="167" customFormat="1" ht="15.75" customHeight="1">
      <c r="A107" s="181" t="s">
        <v>309</v>
      </c>
      <c r="B107" s="192"/>
      <c r="C107" s="182" t="s">
        <v>310</v>
      </c>
      <c r="D107" s="154" t="e">
        <f>D109+D110+D111+#REF!+D123+#REF!</f>
        <v>#REF!</v>
      </c>
      <c r="E107" s="154" t="e">
        <f>E109+E110+E111+E113+#REF!+#REF!+E114+E115+#REF!+E117+E119+E121+E122+E123+#REF!+#REF!</f>
        <v>#REF!</v>
      </c>
      <c r="F107" s="154" t="e">
        <f>F109+F110+F111+F113+#REF!+#REF!+F114+F115+#REF!+F117+F119+F121+F122+F123+#REF!+#REF!</f>
        <v>#REF!</v>
      </c>
      <c r="G107" s="154" t="e">
        <f>G109+G110+G111+G113+#REF!+#REF!+G114+G115+#REF!+G117+G119+G121+G122+G123+#REF!+#REF!</f>
        <v>#REF!</v>
      </c>
      <c r="H107" s="154" t="e">
        <f>H109+H110+H111+H113+H108+#REF!+H114+H115+#REF!+H117+H119+H121+H122+#REF!+H123+H124+#REF!+H120</f>
        <v>#REF!</v>
      </c>
      <c r="I107" s="154" t="e">
        <f>I109+I110+I111+I113+I108+#REF!+I114+I115+#REF!+I117+I119+I121+I122+#REF!+I123+I124+#REF!+I120</f>
        <v>#REF!</v>
      </c>
      <c r="J107" s="154" t="e">
        <f>J109+J110+J111+J113+J108+#REF!+J114+J115+#REF!+J117+J119+J121+J122+#REF!+J123+J124+#REF!+J120</f>
        <v>#REF!</v>
      </c>
      <c r="K107" s="154">
        <f>SUM(K108:K127)</f>
        <v>2331083</v>
      </c>
      <c r="L107" s="154">
        <f>SUM(L108:L127)</f>
        <v>1600</v>
      </c>
      <c r="M107" s="154">
        <f>SUM(M108:M127)</f>
        <v>1600</v>
      </c>
      <c r="N107" s="154">
        <f t="shared" si="20"/>
        <v>2331083</v>
      </c>
      <c r="O107" s="154">
        <f>SUM(O108:O127)</f>
        <v>0</v>
      </c>
      <c r="P107" s="154">
        <f>SUM(P108:P127)</f>
        <v>2279083</v>
      </c>
      <c r="Q107" s="154">
        <f>SUM(Q108:Q127)</f>
        <v>52000</v>
      </c>
    </row>
    <row r="108" spans="1:17" s="168" customFormat="1" ht="16.5" customHeight="1">
      <c r="A108" s="26"/>
      <c r="B108" s="27" t="s">
        <v>220</v>
      </c>
      <c r="C108" s="282" t="s">
        <v>133</v>
      </c>
      <c r="D108" s="7"/>
      <c r="E108" s="16"/>
      <c r="F108" s="16"/>
      <c r="G108" s="16"/>
      <c r="H108" s="16">
        <v>216</v>
      </c>
      <c r="I108" s="16">
        <v>0</v>
      </c>
      <c r="J108" s="16">
        <v>0</v>
      </c>
      <c r="K108" s="7">
        <v>300</v>
      </c>
      <c r="L108" s="7"/>
      <c r="M108" s="16"/>
      <c r="N108" s="7">
        <f t="shared" si="20"/>
        <v>300</v>
      </c>
      <c r="O108" s="16">
        <v>0</v>
      </c>
      <c r="P108" s="20">
        <f>N108</f>
        <v>300</v>
      </c>
      <c r="Q108" s="20">
        <v>0</v>
      </c>
    </row>
    <row r="109" spans="1:17" s="168" customFormat="1" ht="15.75" customHeight="1">
      <c r="A109" s="26"/>
      <c r="B109" s="27" t="s">
        <v>237</v>
      </c>
      <c r="C109" s="282" t="s">
        <v>164</v>
      </c>
      <c r="D109" s="7">
        <v>1172382</v>
      </c>
      <c r="E109" s="16">
        <v>1396150</v>
      </c>
      <c r="F109" s="16">
        <v>0</v>
      </c>
      <c r="G109" s="16">
        <v>0</v>
      </c>
      <c r="H109" s="16">
        <v>1069576</v>
      </c>
      <c r="I109" s="16">
        <v>0</v>
      </c>
      <c r="J109" s="16">
        <v>0</v>
      </c>
      <c r="K109" s="7">
        <v>1359646</v>
      </c>
      <c r="L109" s="7">
        <v>0</v>
      </c>
      <c r="M109" s="16">
        <v>1000</v>
      </c>
      <c r="N109" s="7">
        <f t="shared" si="20"/>
        <v>1358646</v>
      </c>
      <c r="O109" s="16">
        <v>0</v>
      </c>
      <c r="P109" s="20">
        <f aca="true" t="shared" si="23" ref="P109:P127">N109</f>
        <v>1358646</v>
      </c>
      <c r="Q109" s="20">
        <v>0</v>
      </c>
    </row>
    <row r="110" spans="1:17" s="168" customFormat="1" ht="16.5" customHeight="1">
      <c r="A110" s="26"/>
      <c r="B110" s="27" t="s">
        <v>241</v>
      </c>
      <c r="C110" s="282" t="s">
        <v>242</v>
      </c>
      <c r="D110" s="7">
        <v>77447</v>
      </c>
      <c r="E110" s="16">
        <v>95133</v>
      </c>
      <c r="F110" s="16">
        <v>0</v>
      </c>
      <c r="G110" s="16">
        <v>0</v>
      </c>
      <c r="H110" s="16">
        <v>81433</v>
      </c>
      <c r="I110" s="16">
        <v>0</v>
      </c>
      <c r="J110" s="16">
        <v>0</v>
      </c>
      <c r="K110" s="7">
        <v>104945</v>
      </c>
      <c r="L110" s="7">
        <v>0</v>
      </c>
      <c r="M110" s="16">
        <v>0</v>
      </c>
      <c r="N110" s="7">
        <f t="shared" si="20"/>
        <v>104945</v>
      </c>
      <c r="O110" s="16">
        <v>0</v>
      </c>
      <c r="P110" s="20">
        <f t="shared" si="23"/>
        <v>104945</v>
      </c>
      <c r="Q110" s="20">
        <v>0</v>
      </c>
    </row>
    <row r="111" spans="1:17" s="168" customFormat="1" ht="15" customHeight="1">
      <c r="A111" s="26"/>
      <c r="B111" s="28" t="s">
        <v>299</v>
      </c>
      <c r="C111" s="282" t="s">
        <v>271</v>
      </c>
      <c r="D111" s="7">
        <v>236159</v>
      </c>
      <c r="E111" s="16">
        <v>262390</v>
      </c>
      <c r="F111" s="16">
        <v>0</v>
      </c>
      <c r="G111" s="16">
        <v>0</v>
      </c>
      <c r="H111" s="16">
        <v>195558</v>
      </c>
      <c r="I111" s="16">
        <v>0</v>
      </c>
      <c r="J111" s="16">
        <v>0</v>
      </c>
      <c r="K111" s="7">
        <v>203335</v>
      </c>
      <c r="L111" s="7">
        <v>0</v>
      </c>
      <c r="M111" s="16"/>
      <c r="N111" s="7">
        <f t="shared" si="20"/>
        <v>203335</v>
      </c>
      <c r="O111" s="16">
        <v>0</v>
      </c>
      <c r="P111" s="20">
        <f t="shared" si="23"/>
        <v>203335</v>
      </c>
      <c r="Q111" s="20">
        <v>0</v>
      </c>
    </row>
    <row r="112" spans="1:17" s="168" customFormat="1" ht="15" customHeight="1">
      <c r="A112" s="26"/>
      <c r="B112" s="28" t="s">
        <v>245</v>
      </c>
      <c r="C112" s="282" t="s">
        <v>246</v>
      </c>
      <c r="D112" s="7"/>
      <c r="E112" s="16"/>
      <c r="F112" s="16"/>
      <c r="G112" s="16"/>
      <c r="H112" s="16"/>
      <c r="I112" s="16"/>
      <c r="J112" s="16"/>
      <c r="K112" s="7">
        <v>32642</v>
      </c>
      <c r="L112" s="7">
        <v>0</v>
      </c>
      <c r="M112" s="16"/>
      <c r="N112" s="7">
        <f t="shared" si="20"/>
        <v>32642</v>
      </c>
      <c r="O112" s="16">
        <v>0</v>
      </c>
      <c r="P112" s="20">
        <f t="shared" si="23"/>
        <v>32642</v>
      </c>
      <c r="Q112" s="20">
        <v>0</v>
      </c>
    </row>
    <row r="113" spans="1:17" s="168" customFormat="1" ht="13.5" customHeight="1">
      <c r="A113" s="26"/>
      <c r="B113" s="28" t="s">
        <v>92</v>
      </c>
      <c r="C113" s="282" t="s">
        <v>106</v>
      </c>
      <c r="D113" s="7"/>
      <c r="E113" s="16">
        <v>35746</v>
      </c>
      <c r="F113" s="16">
        <v>0</v>
      </c>
      <c r="G113" s="16">
        <v>0</v>
      </c>
      <c r="H113" s="16">
        <v>27881</v>
      </c>
      <c r="I113" s="16">
        <v>0</v>
      </c>
      <c r="J113" s="16">
        <v>0</v>
      </c>
      <c r="K113" s="7">
        <v>2000</v>
      </c>
      <c r="L113" s="7">
        <v>1000</v>
      </c>
      <c r="M113" s="16"/>
      <c r="N113" s="7">
        <f t="shared" si="20"/>
        <v>3000</v>
      </c>
      <c r="O113" s="16">
        <v>0</v>
      </c>
      <c r="P113" s="20">
        <f t="shared" si="23"/>
        <v>3000</v>
      </c>
      <c r="Q113" s="20">
        <v>0</v>
      </c>
    </row>
    <row r="114" spans="1:17" s="168" customFormat="1" ht="15.75" customHeight="1">
      <c r="A114" s="26"/>
      <c r="B114" s="27" t="s">
        <v>247</v>
      </c>
      <c r="C114" s="282" t="s">
        <v>274</v>
      </c>
      <c r="D114" s="7"/>
      <c r="E114" s="16">
        <v>125516</v>
      </c>
      <c r="F114" s="16">
        <v>18656</v>
      </c>
      <c r="G114" s="16">
        <v>0</v>
      </c>
      <c r="H114" s="16">
        <v>70370</v>
      </c>
      <c r="I114" s="16">
        <v>0</v>
      </c>
      <c r="J114" s="16">
        <v>0</v>
      </c>
      <c r="K114" s="7">
        <v>68200</v>
      </c>
      <c r="L114" s="7">
        <v>0</v>
      </c>
      <c r="M114" s="16"/>
      <c r="N114" s="7">
        <f t="shared" si="20"/>
        <v>68200</v>
      </c>
      <c r="O114" s="16">
        <v>0</v>
      </c>
      <c r="P114" s="20">
        <f t="shared" si="23"/>
        <v>68200</v>
      </c>
      <c r="Q114" s="20">
        <v>0</v>
      </c>
    </row>
    <row r="115" spans="1:17" s="168" customFormat="1" ht="15.75" customHeight="1">
      <c r="A115" s="26"/>
      <c r="B115" s="27" t="s">
        <v>249</v>
      </c>
      <c r="C115" s="282" t="s">
        <v>250</v>
      </c>
      <c r="D115" s="7"/>
      <c r="E115" s="16">
        <v>60600</v>
      </c>
      <c r="F115" s="16">
        <v>0</v>
      </c>
      <c r="G115" s="16">
        <v>0</v>
      </c>
      <c r="H115" s="16">
        <v>70000</v>
      </c>
      <c r="I115" s="16">
        <v>0</v>
      </c>
      <c r="J115" s="16">
        <v>0</v>
      </c>
      <c r="K115" s="7">
        <v>70000</v>
      </c>
      <c r="L115" s="7">
        <v>0</v>
      </c>
      <c r="M115" s="16"/>
      <c r="N115" s="7">
        <f t="shared" si="20"/>
        <v>70000</v>
      </c>
      <c r="O115" s="16">
        <v>0</v>
      </c>
      <c r="P115" s="20">
        <f t="shared" si="23"/>
        <v>70000</v>
      </c>
      <c r="Q115" s="20">
        <v>0</v>
      </c>
    </row>
    <row r="116" spans="1:17" s="168" customFormat="1" ht="15.75" customHeight="1">
      <c r="A116" s="26"/>
      <c r="B116" s="27" t="s">
        <v>251</v>
      </c>
      <c r="C116" s="282" t="s">
        <v>369</v>
      </c>
      <c r="D116" s="7"/>
      <c r="E116" s="16"/>
      <c r="F116" s="16"/>
      <c r="G116" s="16"/>
      <c r="H116" s="16"/>
      <c r="I116" s="16"/>
      <c r="J116" s="16"/>
      <c r="K116" s="7">
        <v>0</v>
      </c>
      <c r="L116" s="7"/>
      <c r="M116" s="16"/>
      <c r="N116" s="7">
        <f t="shared" si="20"/>
        <v>0</v>
      </c>
      <c r="O116" s="16">
        <v>0</v>
      </c>
      <c r="P116" s="20">
        <f t="shared" si="23"/>
        <v>0</v>
      </c>
      <c r="Q116" s="20">
        <v>0</v>
      </c>
    </row>
    <row r="117" spans="1:17" s="168" customFormat="1" ht="13.5" customHeight="1">
      <c r="A117" s="26"/>
      <c r="B117" s="27" t="s">
        <v>253</v>
      </c>
      <c r="C117" s="282" t="s">
        <v>254</v>
      </c>
      <c r="D117" s="7"/>
      <c r="E117" s="16">
        <v>427481</v>
      </c>
      <c r="F117" s="16">
        <v>18859</v>
      </c>
      <c r="G117" s="16">
        <v>0</v>
      </c>
      <c r="H117" s="16">
        <v>385087</v>
      </c>
      <c r="I117" s="16">
        <v>0</v>
      </c>
      <c r="J117" s="16">
        <v>0</v>
      </c>
      <c r="K117" s="7">
        <v>388335</v>
      </c>
      <c r="L117" s="7">
        <v>0</v>
      </c>
      <c r="M117" s="16"/>
      <c r="N117" s="7">
        <f t="shared" si="20"/>
        <v>388335</v>
      </c>
      <c r="O117" s="16">
        <v>0</v>
      </c>
      <c r="P117" s="20">
        <f t="shared" si="23"/>
        <v>388335</v>
      </c>
      <c r="Q117" s="20">
        <v>0</v>
      </c>
    </row>
    <row r="118" spans="1:17" s="168" customFormat="1" ht="13.5" customHeight="1">
      <c r="A118" s="26"/>
      <c r="B118" s="27" t="s">
        <v>107</v>
      </c>
      <c r="C118" s="282" t="s">
        <v>652</v>
      </c>
      <c r="D118" s="7"/>
      <c r="E118" s="16"/>
      <c r="F118" s="16"/>
      <c r="G118" s="16"/>
      <c r="H118" s="16"/>
      <c r="I118" s="16"/>
      <c r="J118" s="16"/>
      <c r="K118" s="7">
        <v>3600</v>
      </c>
      <c r="L118" s="7"/>
      <c r="M118" s="16"/>
      <c r="N118" s="7">
        <f t="shared" si="20"/>
        <v>3600</v>
      </c>
      <c r="O118" s="16">
        <v>0</v>
      </c>
      <c r="P118" s="20">
        <f t="shared" si="23"/>
        <v>3600</v>
      </c>
      <c r="Q118" s="20">
        <v>0</v>
      </c>
    </row>
    <row r="119" spans="1:17" s="168" customFormat="1" ht="14.25" customHeight="1">
      <c r="A119" s="26"/>
      <c r="B119" s="27" t="s">
        <v>255</v>
      </c>
      <c r="C119" s="282" t="s">
        <v>256</v>
      </c>
      <c r="D119" s="7"/>
      <c r="E119" s="16">
        <v>10250</v>
      </c>
      <c r="F119" s="16">
        <v>761</v>
      </c>
      <c r="G119" s="16">
        <v>0</v>
      </c>
      <c r="H119" s="16">
        <v>7000</v>
      </c>
      <c r="I119" s="16">
        <v>0</v>
      </c>
      <c r="J119" s="16">
        <v>0</v>
      </c>
      <c r="K119" s="7">
        <v>8850</v>
      </c>
      <c r="L119" s="7">
        <v>550</v>
      </c>
      <c r="M119" s="16"/>
      <c r="N119" s="7">
        <f t="shared" si="20"/>
        <v>9400</v>
      </c>
      <c r="O119" s="16">
        <v>0</v>
      </c>
      <c r="P119" s="20">
        <f t="shared" si="23"/>
        <v>9400</v>
      </c>
      <c r="Q119" s="20">
        <v>0</v>
      </c>
    </row>
    <row r="120" spans="1:17" s="168" customFormat="1" ht="14.25" customHeight="1">
      <c r="A120" s="26"/>
      <c r="B120" s="27" t="s">
        <v>191</v>
      </c>
      <c r="C120" s="282" t="s">
        <v>192</v>
      </c>
      <c r="D120" s="7"/>
      <c r="E120" s="16"/>
      <c r="F120" s="16"/>
      <c r="G120" s="16"/>
      <c r="H120" s="16">
        <v>1000</v>
      </c>
      <c r="I120" s="16">
        <v>0</v>
      </c>
      <c r="J120" s="16">
        <v>0</v>
      </c>
      <c r="K120" s="7">
        <v>2000</v>
      </c>
      <c r="L120" s="7"/>
      <c r="M120" s="16"/>
      <c r="N120" s="7">
        <f t="shared" si="20"/>
        <v>2000</v>
      </c>
      <c r="O120" s="16">
        <v>0</v>
      </c>
      <c r="P120" s="20">
        <f t="shared" si="23"/>
        <v>2000</v>
      </c>
      <c r="Q120" s="20">
        <v>0</v>
      </c>
    </row>
    <row r="121" spans="1:17" s="168" customFormat="1" ht="15.75" customHeight="1">
      <c r="A121" s="26"/>
      <c r="B121" s="27" t="s">
        <v>257</v>
      </c>
      <c r="C121" s="282" t="s">
        <v>258</v>
      </c>
      <c r="D121" s="7"/>
      <c r="E121" s="16">
        <v>14454</v>
      </c>
      <c r="F121" s="16">
        <v>0</v>
      </c>
      <c r="G121" s="16">
        <v>761</v>
      </c>
      <c r="H121" s="16">
        <v>11800</v>
      </c>
      <c r="I121" s="16">
        <v>0</v>
      </c>
      <c r="J121" s="16">
        <v>0</v>
      </c>
      <c r="K121" s="7">
        <v>617</v>
      </c>
      <c r="L121" s="7">
        <v>49</v>
      </c>
      <c r="M121" s="16"/>
      <c r="N121" s="7">
        <f t="shared" si="20"/>
        <v>666</v>
      </c>
      <c r="O121" s="16">
        <v>0</v>
      </c>
      <c r="P121" s="20">
        <f t="shared" si="23"/>
        <v>666</v>
      </c>
      <c r="Q121" s="20">
        <v>0</v>
      </c>
    </row>
    <row r="122" spans="1:17" s="168" customFormat="1" ht="16.5" customHeight="1">
      <c r="A122" s="26"/>
      <c r="B122" s="27" t="s">
        <v>259</v>
      </c>
      <c r="C122" s="282" t="s">
        <v>260</v>
      </c>
      <c r="D122" s="7"/>
      <c r="E122" s="16">
        <v>40505</v>
      </c>
      <c r="F122" s="16">
        <v>0</v>
      </c>
      <c r="G122" s="16">
        <v>0</v>
      </c>
      <c r="H122" s="16">
        <v>29427</v>
      </c>
      <c r="I122" s="16">
        <v>0</v>
      </c>
      <c r="J122" s="16">
        <v>0</v>
      </c>
      <c r="K122" s="7">
        <v>32429</v>
      </c>
      <c r="L122" s="7">
        <v>1</v>
      </c>
      <c r="M122" s="16"/>
      <c r="N122" s="7">
        <f t="shared" si="20"/>
        <v>32430</v>
      </c>
      <c r="O122" s="16">
        <v>0</v>
      </c>
      <c r="P122" s="20">
        <f t="shared" si="23"/>
        <v>32430</v>
      </c>
      <c r="Q122" s="20">
        <v>0</v>
      </c>
    </row>
    <row r="123" spans="1:17" s="168" customFormat="1" ht="15.75" customHeight="1">
      <c r="A123" s="13"/>
      <c r="B123" s="28" t="s">
        <v>275</v>
      </c>
      <c r="C123" s="282" t="s">
        <v>276</v>
      </c>
      <c r="D123" s="7">
        <v>41000</v>
      </c>
      <c r="E123" s="16">
        <v>17600</v>
      </c>
      <c r="F123" s="16">
        <v>0</v>
      </c>
      <c r="G123" s="16">
        <v>0</v>
      </c>
      <c r="H123" s="16">
        <v>153</v>
      </c>
      <c r="I123" s="16">
        <v>0</v>
      </c>
      <c r="J123" s="16">
        <v>0</v>
      </c>
      <c r="K123" s="7">
        <v>184</v>
      </c>
      <c r="L123" s="7"/>
      <c r="M123" s="16">
        <v>0</v>
      </c>
      <c r="N123" s="7">
        <f t="shared" si="20"/>
        <v>184</v>
      </c>
      <c r="O123" s="16">
        <v>0</v>
      </c>
      <c r="P123" s="20">
        <f t="shared" si="23"/>
        <v>184</v>
      </c>
      <c r="Q123" s="20">
        <v>0</v>
      </c>
    </row>
    <row r="124" spans="1:17" s="168" customFormat="1" ht="13.5" customHeight="1">
      <c r="A124" s="13"/>
      <c r="B124" s="28" t="s">
        <v>117</v>
      </c>
      <c r="C124" s="282" t="s">
        <v>666</v>
      </c>
      <c r="D124" s="7"/>
      <c r="E124" s="16"/>
      <c r="F124" s="16"/>
      <c r="G124" s="16"/>
      <c r="H124" s="16">
        <v>500</v>
      </c>
      <c r="I124" s="16">
        <v>0</v>
      </c>
      <c r="J124" s="16">
        <v>0</v>
      </c>
      <c r="K124" s="7">
        <v>2000</v>
      </c>
      <c r="L124" s="7"/>
      <c r="M124" s="16">
        <v>600</v>
      </c>
      <c r="N124" s="7">
        <f t="shared" si="20"/>
        <v>1400</v>
      </c>
      <c r="O124" s="16">
        <v>0</v>
      </c>
      <c r="P124" s="20">
        <f t="shared" si="23"/>
        <v>1400</v>
      </c>
      <c r="Q124" s="20">
        <v>0</v>
      </c>
    </row>
    <row r="125" spans="1:17" s="168" customFormat="1" ht="13.5" customHeight="1">
      <c r="A125" s="13"/>
      <c r="B125" s="28" t="s">
        <v>305</v>
      </c>
      <c r="C125" s="282" t="s">
        <v>223</v>
      </c>
      <c r="D125" s="7"/>
      <c r="E125" s="16"/>
      <c r="F125" s="16"/>
      <c r="G125" s="16"/>
      <c r="H125" s="16"/>
      <c r="I125" s="16"/>
      <c r="J125" s="16"/>
      <c r="K125" s="7">
        <v>10000</v>
      </c>
      <c r="L125" s="7"/>
      <c r="M125" s="16"/>
      <c r="N125" s="7">
        <f t="shared" si="20"/>
        <v>10000</v>
      </c>
      <c r="O125" s="16">
        <v>0</v>
      </c>
      <c r="P125" s="20">
        <f>N125-Q125</f>
        <v>0</v>
      </c>
      <c r="Q125" s="20">
        <f>N125</f>
        <v>10000</v>
      </c>
    </row>
    <row r="126" spans="1:17" s="168" customFormat="1" ht="43.5" customHeight="1">
      <c r="A126" s="26"/>
      <c r="B126" s="27" t="s">
        <v>65</v>
      </c>
      <c r="C126" s="119" t="s">
        <v>66</v>
      </c>
      <c r="D126" s="7"/>
      <c r="E126" s="16"/>
      <c r="F126" s="16"/>
      <c r="G126" s="16"/>
      <c r="H126" s="16"/>
      <c r="I126" s="16"/>
      <c r="J126" s="16"/>
      <c r="K126" s="7">
        <v>42000</v>
      </c>
      <c r="L126" s="7"/>
      <c r="M126" s="16"/>
      <c r="N126" s="7">
        <f t="shared" si="20"/>
        <v>42000</v>
      </c>
      <c r="O126" s="16">
        <v>0</v>
      </c>
      <c r="P126" s="20">
        <v>0</v>
      </c>
      <c r="Q126" s="20">
        <f>N126</f>
        <v>42000</v>
      </c>
    </row>
    <row r="127" spans="1:17" s="168" customFormat="1" ht="13.5" customHeight="1">
      <c r="A127" s="26"/>
      <c r="B127" s="27" t="s">
        <v>279</v>
      </c>
      <c r="C127" s="282" t="s">
        <v>163</v>
      </c>
      <c r="D127" s="7"/>
      <c r="E127" s="16"/>
      <c r="F127" s="16"/>
      <c r="G127" s="16"/>
      <c r="H127" s="16"/>
      <c r="I127" s="16"/>
      <c r="J127" s="16"/>
      <c r="K127" s="7">
        <v>0</v>
      </c>
      <c r="L127" s="7"/>
      <c r="M127" s="16"/>
      <c r="N127" s="7">
        <f t="shared" si="20"/>
        <v>0</v>
      </c>
      <c r="O127" s="16">
        <v>0</v>
      </c>
      <c r="P127" s="20">
        <f t="shared" si="23"/>
        <v>0</v>
      </c>
      <c r="Q127" s="20">
        <f>N127</f>
        <v>0</v>
      </c>
    </row>
    <row r="128" spans="1:17" s="168" customFormat="1" ht="15" customHeight="1">
      <c r="A128" s="181" t="s">
        <v>311</v>
      </c>
      <c r="B128" s="192"/>
      <c r="C128" s="182" t="s">
        <v>312</v>
      </c>
      <c r="D128" s="154">
        <f>D130</f>
        <v>22000</v>
      </c>
      <c r="E128" s="154" t="e">
        <f>E130+E131+#REF!+E133+E134+E135</f>
        <v>#REF!</v>
      </c>
      <c r="F128" s="154" t="e">
        <f>F130+F131+#REF!+F133+F134+F135</f>
        <v>#REF!</v>
      </c>
      <c r="G128" s="154" t="e">
        <f>G130+G131+#REF!+G133+G134+G135</f>
        <v>#REF!</v>
      </c>
      <c r="H128" s="154">
        <f>H129+H130+H131+H133+H134+H135</f>
        <v>14177</v>
      </c>
      <c r="I128" s="154">
        <f>I129+I130+I131+I133+I134+I135</f>
        <v>0</v>
      </c>
      <c r="J128" s="154">
        <f>J129+J130+J131+J133+J134+J135</f>
        <v>0</v>
      </c>
      <c r="K128" s="154">
        <f>K129+K130+K131+K132+K133+K134+K135</f>
        <v>13000</v>
      </c>
      <c r="L128" s="154">
        <f>L129+L130+L131+L132+L133+L134+L135</f>
        <v>0</v>
      </c>
      <c r="M128" s="154">
        <f>M129+M130+M131+M132+M133+M134+M135</f>
        <v>0</v>
      </c>
      <c r="N128" s="154">
        <f t="shared" si="20"/>
        <v>13000</v>
      </c>
      <c r="O128" s="154">
        <f>O130+O131+O132+O133+O134+O135+O129</f>
        <v>13000</v>
      </c>
      <c r="P128" s="152">
        <f>P129+P130+P131+P132+P133+P134+P135</f>
        <v>0</v>
      </c>
      <c r="Q128" s="152">
        <f>Q129+Q130+Q131+Q132+Q133+Q134+Q135</f>
        <v>0</v>
      </c>
    </row>
    <row r="129" spans="1:17" s="168" customFormat="1" ht="16.5" customHeight="1">
      <c r="A129" s="13"/>
      <c r="B129" s="27" t="s">
        <v>235</v>
      </c>
      <c r="C129" s="282" t="s">
        <v>308</v>
      </c>
      <c r="D129" s="16"/>
      <c r="E129" s="16"/>
      <c r="F129" s="16"/>
      <c r="G129" s="16"/>
      <c r="H129" s="16">
        <v>5842</v>
      </c>
      <c r="I129" s="16">
        <v>0</v>
      </c>
      <c r="J129" s="16">
        <v>0</v>
      </c>
      <c r="K129" s="7">
        <v>5330</v>
      </c>
      <c r="L129" s="7"/>
      <c r="M129" s="16">
        <v>0</v>
      </c>
      <c r="N129" s="7">
        <f t="shared" si="20"/>
        <v>5330</v>
      </c>
      <c r="O129" s="16">
        <f>N129</f>
        <v>5330</v>
      </c>
      <c r="P129" s="17">
        <v>0</v>
      </c>
      <c r="Q129" s="17">
        <v>0</v>
      </c>
    </row>
    <row r="130" spans="1:17" s="168" customFormat="1" ht="15.75" customHeight="1">
      <c r="A130" s="26"/>
      <c r="B130" s="27" t="s">
        <v>270</v>
      </c>
      <c r="C130" s="282" t="s">
        <v>313</v>
      </c>
      <c r="D130" s="7">
        <v>22000</v>
      </c>
      <c r="E130" s="16">
        <v>963</v>
      </c>
      <c r="F130" s="16">
        <v>0</v>
      </c>
      <c r="G130" s="16">
        <v>0</v>
      </c>
      <c r="H130" s="16">
        <v>465</v>
      </c>
      <c r="I130" s="16">
        <v>0</v>
      </c>
      <c r="J130" s="16">
        <v>0</v>
      </c>
      <c r="K130" s="7">
        <v>775</v>
      </c>
      <c r="L130" s="7">
        <v>0</v>
      </c>
      <c r="M130" s="16"/>
      <c r="N130" s="7">
        <f t="shared" si="20"/>
        <v>775</v>
      </c>
      <c r="O130" s="16">
        <f aca="true" t="shared" si="24" ref="O130:O135">N130</f>
        <v>775</v>
      </c>
      <c r="P130" s="20">
        <v>0</v>
      </c>
      <c r="Q130" s="20">
        <v>0</v>
      </c>
    </row>
    <row r="131" spans="1:17" s="168" customFormat="1" ht="15.75" customHeight="1">
      <c r="A131" s="26"/>
      <c r="B131" s="27" t="s">
        <v>245</v>
      </c>
      <c r="C131" s="282" t="s">
        <v>246</v>
      </c>
      <c r="D131" s="7"/>
      <c r="E131" s="16">
        <v>132</v>
      </c>
      <c r="F131" s="16">
        <v>0</v>
      </c>
      <c r="G131" s="16">
        <v>0</v>
      </c>
      <c r="H131" s="16">
        <v>66</v>
      </c>
      <c r="I131" s="16">
        <v>0</v>
      </c>
      <c r="J131" s="16">
        <v>0</v>
      </c>
      <c r="K131" s="7">
        <v>110</v>
      </c>
      <c r="L131" s="7">
        <v>0</v>
      </c>
      <c r="M131" s="16"/>
      <c r="N131" s="7">
        <f t="shared" si="20"/>
        <v>110</v>
      </c>
      <c r="O131" s="16">
        <f t="shared" si="24"/>
        <v>110</v>
      </c>
      <c r="P131" s="20">
        <v>0</v>
      </c>
      <c r="Q131" s="20">
        <v>0</v>
      </c>
    </row>
    <row r="132" spans="1:17" s="168" customFormat="1" ht="15.75" customHeight="1">
      <c r="A132" s="26"/>
      <c r="B132" s="27" t="s">
        <v>92</v>
      </c>
      <c r="C132" s="282" t="s">
        <v>106</v>
      </c>
      <c r="D132" s="7"/>
      <c r="E132" s="16"/>
      <c r="F132" s="16"/>
      <c r="G132" s="16"/>
      <c r="H132" s="16"/>
      <c r="I132" s="16"/>
      <c r="J132" s="16"/>
      <c r="K132" s="7">
        <v>5400</v>
      </c>
      <c r="L132" s="7">
        <v>0</v>
      </c>
      <c r="M132" s="16"/>
      <c r="N132" s="7">
        <f t="shared" si="20"/>
        <v>5400</v>
      </c>
      <c r="O132" s="16">
        <f t="shared" si="24"/>
        <v>5400</v>
      </c>
      <c r="P132" s="20">
        <v>0</v>
      </c>
      <c r="Q132" s="20">
        <v>0</v>
      </c>
    </row>
    <row r="133" spans="1:17" s="168" customFormat="1" ht="16.5" customHeight="1">
      <c r="A133" s="26"/>
      <c r="B133" s="27" t="s">
        <v>247</v>
      </c>
      <c r="C133" s="282" t="s">
        <v>274</v>
      </c>
      <c r="D133" s="7"/>
      <c r="E133" s="16">
        <v>6208</v>
      </c>
      <c r="F133" s="16">
        <v>0</v>
      </c>
      <c r="G133" s="16">
        <v>0</v>
      </c>
      <c r="H133" s="16">
        <v>3642</v>
      </c>
      <c r="I133" s="16">
        <v>0</v>
      </c>
      <c r="J133" s="16">
        <v>0</v>
      </c>
      <c r="K133" s="7">
        <v>687</v>
      </c>
      <c r="L133" s="7"/>
      <c r="M133" s="16">
        <v>0</v>
      </c>
      <c r="N133" s="7">
        <f t="shared" si="20"/>
        <v>687</v>
      </c>
      <c r="O133" s="16">
        <f t="shared" si="24"/>
        <v>687</v>
      </c>
      <c r="P133" s="20">
        <v>0</v>
      </c>
      <c r="Q133" s="20">
        <v>0</v>
      </c>
    </row>
    <row r="134" spans="1:17" s="168" customFormat="1" ht="15.75" customHeight="1">
      <c r="A134" s="26"/>
      <c r="B134" s="27" t="s">
        <v>253</v>
      </c>
      <c r="C134" s="282" t="s">
        <v>254</v>
      </c>
      <c r="D134" s="7"/>
      <c r="E134" s="16">
        <v>2165</v>
      </c>
      <c r="F134" s="16">
        <v>0</v>
      </c>
      <c r="G134" s="16">
        <v>0</v>
      </c>
      <c r="H134" s="16">
        <v>3948</v>
      </c>
      <c r="I134" s="16">
        <v>0</v>
      </c>
      <c r="J134" s="16">
        <v>0</v>
      </c>
      <c r="K134" s="7">
        <v>450</v>
      </c>
      <c r="L134" s="7"/>
      <c r="M134" s="16">
        <v>0</v>
      </c>
      <c r="N134" s="7">
        <f t="shared" si="20"/>
        <v>450</v>
      </c>
      <c r="O134" s="16">
        <f t="shared" si="24"/>
        <v>450</v>
      </c>
      <c r="P134" s="20">
        <v>0</v>
      </c>
      <c r="Q134" s="20">
        <v>0</v>
      </c>
    </row>
    <row r="135" spans="1:17" s="168" customFormat="1" ht="15.75" customHeight="1">
      <c r="A135" s="26"/>
      <c r="B135" s="27" t="s">
        <v>255</v>
      </c>
      <c r="C135" s="282" t="s">
        <v>256</v>
      </c>
      <c r="D135" s="7"/>
      <c r="E135" s="16">
        <v>393</v>
      </c>
      <c r="F135" s="16">
        <v>0</v>
      </c>
      <c r="G135" s="16">
        <v>0</v>
      </c>
      <c r="H135" s="16">
        <v>214</v>
      </c>
      <c r="I135" s="16">
        <v>0</v>
      </c>
      <c r="J135" s="16">
        <v>0</v>
      </c>
      <c r="K135" s="7">
        <v>248</v>
      </c>
      <c r="L135" s="7"/>
      <c r="M135" s="16">
        <v>0</v>
      </c>
      <c r="N135" s="7">
        <f t="shared" si="20"/>
        <v>248</v>
      </c>
      <c r="O135" s="16">
        <f t="shared" si="24"/>
        <v>248</v>
      </c>
      <c r="P135" s="20">
        <v>0</v>
      </c>
      <c r="Q135" s="20">
        <v>0</v>
      </c>
    </row>
    <row r="136" spans="1:17" s="167" customFormat="1" ht="24.75" customHeight="1">
      <c r="A136" s="181" t="s">
        <v>508</v>
      </c>
      <c r="B136" s="192"/>
      <c r="C136" s="182" t="s">
        <v>509</v>
      </c>
      <c r="D136" s="154"/>
      <c r="E136" s="154"/>
      <c r="F136" s="154"/>
      <c r="G136" s="154"/>
      <c r="H136" s="154"/>
      <c r="I136" s="154"/>
      <c r="J136" s="154"/>
      <c r="K136" s="154">
        <f>SUM(K137:K140)</f>
        <v>11000</v>
      </c>
      <c r="L136" s="154">
        <f>SUM(L137:L140)</f>
        <v>0</v>
      </c>
      <c r="M136" s="154">
        <f>SUM(M137:M140)</f>
        <v>0</v>
      </c>
      <c r="N136" s="154">
        <f t="shared" si="20"/>
        <v>11000</v>
      </c>
      <c r="O136" s="154">
        <f>SUM(O137:O140)</f>
        <v>0</v>
      </c>
      <c r="P136" s="154">
        <f>SUM(P137:P140)</f>
        <v>11000</v>
      </c>
      <c r="Q136" s="154">
        <f>SUM(Q137:Q140)</f>
        <v>0</v>
      </c>
    </row>
    <row r="137" spans="1:17" s="168" customFormat="1" ht="19.5" customHeight="1">
      <c r="A137" s="26"/>
      <c r="B137" s="27" t="s">
        <v>305</v>
      </c>
      <c r="C137" s="282" t="s">
        <v>510</v>
      </c>
      <c r="D137" s="7"/>
      <c r="E137" s="16"/>
      <c r="F137" s="16"/>
      <c r="G137" s="16"/>
      <c r="H137" s="16"/>
      <c r="I137" s="16"/>
      <c r="J137" s="16"/>
      <c r="K137" s="7">
        <v>0</v>
      </c>
      <c r="L137" s="7"/>
      <c r="M137" s="16"/>
      <c r="N137" s="7">
        <f t="shared" si="20"/>
        <v>0</v>
      </c>
      <c r="O137" s="16">
        <v>0</v>
      </c>
      <c r="P137" s="20">
        <f aca="true" t="shared" si="25" ref="P137:P145">N137</f>
        <v>0</v>
      </c>
      <c r="Q137" s="20">
        <f>N137</f>
        <v>0</v>
      </c>
    </row>
    <row r="138" spans="1:17" s="168" customFormat="1" ht="18" customHeight="1">
      <c r="A138" s="26"/>
      <c r="B138" s="27" t="s">
        <v>92</v>
      </c>
      <c r="C138" s="282" t="s">
        <v>511</v>
      </c>
      <c r="D138" s="7"/>
      <c r="E138" s="16"/>
      <c r="F138" s="16"/>
      <c r="G138" s="16"/>
      <c r="H138" s="16"/>
      <c r="I138" s="16"/>
      <c r="J138" s="16"/>
      <c r="K138" s="7">
        <v>1800</v>
      </c>
      <c r="L138" s="7"/>
      <c r="M138" s="16"/>
      <c r="N138" s="7">
        <f t="shared" si="20"/>
        <v>1800</v>
      </c>
      <c r="O138" s="16">
        <v>0</v>
      </c>
      <c r="P138" s="20">
        <f t="shared" si="25"/>
        <v>1800</v>
      </c>
      <c r="Q138" s="20">
        <v>0</v>
      </c>
    </row>
    <row r="139" spans="1:17" s="168" customFormat="1" ht="18.75" customHeight="1">
      <c r="A139" s="26"/>
      <c r="B139" s="27" t="s">
        <v>247</v>
      </c>
      <c r="C139" s="282" t="s">
        <v>248</v>
      </c>
      <c r="D139" s="7"/>
      <c r="E139" s="16"/>
      <c r="F139" s="16"/>
      <c r="G139" s="16"/>
      <c r="H139" s="16"/>
      <c r="I139" s="16"/>
      <c r="J139" s="16"/>
      <c r="K139" s="7">
        <v>3000</v>
      </c>
      <c r="L139" s="7"/>
      <c r="M139" s="16">
        <v>0</v>
      </c>
      <c r="N139" s="7">
        <f t="shared" si="20"/>
        <v>3000</v>
      </c>
      <c r="O139" s="16">
        <v>0</v>
      </c>
      <c r="P139" s="20">
        <f t="shared" si="25"/>
        <v>3000</v>
      </c>
      <c r="Q139" s="20">
        <v>0</v>
      </c>
    </row>
    <row r="140" spans="1:17" s="168" customFormat="1" ht="18" customHeight="1">
      <c r="A140" s="43"/>
      <c r="B140" s="137" t="s">
        <v>253</v>
      </c>
      <c r="C140" s="303" t="s">
        <v>370</v>
      </c>
      <c r="D140" s="63"/>
      <c r="E140" s="86"/>
      <c r="F140" s="86"/>
      <c r="G140" s="86"/>
      <c r="H140" s="86"/>
      <c r="I140" s="86"/>
      <c r="J140" s="86"/>
      <c r="K140" s="63">
        <v>6200</v>
      </c>
      <c r="L140" s="63"/>
      <c r="M140" s="86">
        <v>0</v>
      </c>
      <c r="N140" s="7">
        <f t="shared" si="20"/>
        <v>6200</v>
      </c>
      <c r="O140" s="16">
        <v>0</v>
      </c>
      <c r="P140" s="20">
        <f t="shared" si="25"/>
        <v>6200</v>
      </c>
      <c r="Q140" s="40">
        <v>0</v>
      </c>
    </row>
    <row r="141" spans="1:17" s="307" customFormat="1" ht="15" customHeight="1">
      <c r="A141" s="181" t="s">
        <v>314</v>
      </c>
      <c r="B141" s="192"/>
      <c r="C141" s="291" t="s">
        <v>315</v>
      </c>
      <c r="D141" s="154" t="e">
        <f>#REF!</f>
        <v>#REF!</v>
      </c>
      <c r="E141" s="154" t="e">
        <f>#REF!+E145</f>
        <v>#REF!</v>
      </c>
      <c r="F141" s="154" t="e">
        <f>#REF!+F145</f>
        <v>#REF!</v>
      </c>
      <c r="G141" s="154" t="e">
        <f>#REF!+G145</f>
        <v>#REF!</v>
      </c>
      <c r="H141" s="154">
        <f>H143+H145</f>
        <v>8900</v>
      </c>
      <c r="I141" s="154">
        <f>I143+I145</f>
        <v>0</v>
      </c>
      <c r="J141" s="154">
        <f>J143+J145</f>
        <v>0</v>
      </c>
      <c r="K141" s="154">
        <f>SUM(K142:K145)</f>
        <v>17000</v>
      </c>
      <c r="L141" s="154">
        <f>SUM(L142:L145)</f>
        <v>0</v>
      </c>
      <c r="M141" s="154">
        <f>SUM(M142:M145)</f>
        <v>0</v>
      </c>
      <c r="N141" s="154">
        <f t="shared" si="20"/>
        <v>17000</v>
      </c>
      <c r="O141" s="154"/>
      <c r="P141" s="152">
        <f t="shared" si="25"/>
        <v>17000</v>
      </c>
      <c r="Q141" s="152">
        <f>Q143+Q142+Q144+Q145</f>
        <v>0</v>
      </c>
    </row>
    <row r="142" spans="1:17" s="168" customFormat="1" ht="19.5" customHeight="1">
      <c r="A142" s="26"/>
      <c r="B142" s="27" t="s">
        <v>92</v>
      </c>
      <c r="C142" s="282" t="s">
        <v>653</v>
      </c>
      <c r="D142" s="7"/>
      <c r="E142" s="16"/>
      <c r="F142" s="16"/>
      <c r="G142" s="16"/>
      <c r="H142" s="16"/>
      <c r="I142" s="16"/>
      <c r="J142" s="16"/>
      <c r="K142" s="7">
        <v>3000</v>
      </c>
      <c r="L142" s="7">
        <v>0</v>
      </c>
      <c r="M142" s="16"/>
      <c r="N142" s="7">
        <f aca="true" t="shared" si="26" ref="N142:N177">K142+L142-M142</f>
        <v>3000</v>
      </c>
      <c r="O142" s="16">
        <v>0</v>
      </c>
      <c r="P142" s="20">
        <f t="shared" si="25"/>
        <v>3000</v>
      </c>
      <c r="Q142" s="20">
        <v>0</v>
      </c>
    </row>
    <row r="143" spans="1:17" s="168" customFormat="1" ht="19.5" customHeight="1">
      <c r="A143" s="26"/>
      <c r="B143" s="27" t="s">
        <v>247</v>
      </c>
      <c r="C143" s="282" t="s">
        <v>274</v>
      </c>
      <c r="D143" s="7"/>
      <c r="E143" s="16"/>
      <c r="F143" s="16"/>
      <c r="G143" s="16"/>
      <c r="H143" s="16">
        <v>800</v>
      </c>
      <c r="I143" s="16">
        <v>0</v>
      </c>
      <c r="J143" s="16">
        <v>0</v>
      </c>
      <c r="K143" s="7">
        <v>350</v>
      </c>
      <c r="L143" s="7"/>
      <c r="M143" s="16">
        <v>0</v>
      </c>
      <c r="N143" s="7">
        <f t="shared" si="26"/>
        <v>350</v>
      </c>
      <c r="O143" s="16">
        <v>0</v>
      </c>
      <c r="P143" s="20">
        <f t="shared" si="25"/>
        <v>350</v>
      </c>
      <c r="Q143" s="20">
        <v>0</v>
      </c>
    </row>
    <row r="144" spans="1:17" s="168" customFormat="1" ht="18.75" customHeight="1">
      <c r="A144" s="26"/>
      <c r="B144" s="27" t="s">
        <v>253</v>
      </c>
      <c r="C144" s="282" t="s">
        <v>254</v>
      </c>
      <c r="D144" s="7"/>
      <c r="E144" s="16"/>
      <c r="F144" s="16"/>
      <c r="G144" s="16"/>
      <c r="H144" s="16"/>
      <c r="I144" s="16"/>
      <c r="J144" s="16"/>
      <c r="K144" s="7">
        <v>1768</v>
      </c>
      <c r="L144" s="7">
        <v>0</v>
      </c>
      <c r="M144" s="16"/>
      <c r="N144" s="7">
        <f t="shared" si="26"/>
        <v>1768</v>
      </c>
      <c r="O144" s="16">
        <v>0</v>
      </c>
      <c r="P144" s="20">
        <f t="shared" si="25"/>
        <v>1768</v>
      </c>
      <c r="Q144" s="20">
        <v>0</v>
      </c>
    </row>
    <row r="145" spans="1:17" s="168" customFormat="1" ht="21" customHeight="1">
      <c r="A145" s="26"/>
      <c r="B145" s="27" t="s">
        <v>257</v>
      </c>
      <c r="C145" s="282" t="s">
        <v>430</v>
      </c>
      <c r="D145" s="7"/>
      <c r="E145" s="16">
        <v>7000</v>
      </c>
      <c r="F145" s="16">
        <v>0</v>
      </c>
      <c r="G145" s="16">
        <v>0</v>
      </c>
      <c r="H145" s="16">
        <v>8100</v>
      </c>
      <c r="I145" s="16">
        <v>0</v>
      </c>
      <c r="J145" s="16">
        <v>0</v>
      </c>
      <c r="K145" s="7">
        <v>11882</v>
      </c>
      <c r="L145" s="7">
        <v>0</v>
      </c>
      <c r="M145" s="16"/>
      <c r="N145" s="7">
        <f t="shared" si="26"/>
        <v>11882</v>
      </c>
      <c r="O145" s="16">
        <v>0</v>
      </c>
      <c r="P145" s="20">
        <f t="shared" si="25"/>
        <v>11882</v>
      </c>
      <c r="Q145" s="20">
        <v>0</v>
      </c>
    </row>
    <row r="146" spans="1:17" s="168" customFormat="1" ht="27" customHeight="1">
      <c r="A146" s="158" t="s">
        <v>316</v>
      </c>
      <c r="B146" s="162"/>
      <c r="C146" s="164" t="s">
        <v>317</v>
      </c>
      <c r="D146" s="159" t="e">
        <f>#REF!+D147</f>
        <v>#REF!</v>
      </c>
      <c r="E146" s="159" t="e">
        <f>#REF!+E147</f>
        <v>#REF!</v>
      </c>
      <c r="F146" s="159" t="e">
        <f>#REF!+F147</f>
        <v>#REF!</v>
      </c>
      <c r="G146" s="159" t="e">
        <f>#REF!+G147</f>
        <v>#REF!</v>
      </c>
      <c r="H146" s="159" t="e">
        <f>#REF!+H147</f>
        <v>#REF!</v>
      </c>
      <c r="I146" s="159" t="e">
        <f>#REF!+I147</f>
        <v>#REF!</v>
      </c>
      <c r="J146" s="159" t="e">
        <f>#REF!+J147</f>
        <v>#REF!</v>
      </c>
      <c r="K146" s="159">
        <f>+K147+K169</f>
        <v>2230000</v>
      </c>
      <c r="L146" s="159">
        <f>+L147+L169</f>
        <v>121143</v>
      </c>
      <c r="M146" s="159">
        <f>+M147+M169</f>
        <v>61143</v>
      </c>
      <c r="N146" s="159">
        <f t="shared" si="26"/>
        <v>2290000</v>
      </c>
      <c r="O146" s="159">
        <f>+O147+O169</f>
        <v>2204000</v>
      </c>
      <c r="P146" s="159">
        <f>+P147+P169</f>
        <v>86000</v>
      </c>
      <c r="Q146" s="159">
        <f>+Q147+Q169</f>
        <v>0</v>
      </c>
    </row>
    <row r="147" spans="1:17" s="168" customFormat="1" ht="33" customHeight="1">
      <c r="A147" s="181" t="s">
        <v>371</v>
      </c>
      <c r="B147" s="192"/>
      <c r="C147" s="182" t="s">
        <v>372</v>
      </c>
      <c r="D147" s="154" t="e">
        <f>D149+D150+D151+D152+D153+#REF!+D154+D155</f>
        <v>#REF!</v>
      </c>
      <c r="E147" s="154" t="e">
        <f>E149+E150+E151+E152+E153+#REF!+E154+E155+#REF!+E157+E158+E159+E160+E162+E163+E164+#REF!+E165+E166+#REF!+#REF!</f>
        <v>#REF!</v>
      </c>
      <c r="F147" s="154" t="e">
        <f>F149+F150+F151+F152+F153+#REF!+F154+F155+#REF!+F157+F159+F160+F162+F163+#REF!+F165+F166+#REF!+#REF!</f>
        <v>#REF!</v>
      </c>
      <c r="G147" s="154" t="e">
        <f>G149+G150+G151+G152+G153+#REF!+G154+G155+#REF!+G157+G159+G160+G162+G163+#REF!+G165+G166+#REF!+#REF!</f>
        <v>#REF!</v>
      </c>
      <c r="H147" s="154" t="e">
        <f>H149+H150+H151+H152+H153+#REF!+H154+H155+#REF!+H157+H158+H159+H160+H162+H163+H164+H165+#REF!+H166+#REF!</f>
        <v>#REF!</v>
      </c>
      <c r="I147" s="154" t="e">
        <f>I149+I150+I151+I152+I153+#REF!+I154+I155+#REF!+I157+I158+I159+I160+I162+I163+I164+I165+#REF!+I166+#REF!</f>
        <v>#REF!</v>
      </c>
      <c r="J147" s="154" t="e">
        <f>J149+J150+J151+J152+J153+#REF!+J154+J155+#REF!+J157+J158+J159+J160+J162+J163+J164+J165+#REF!+J166+#REF!</f>
        <v>#REF!</v>
      </c>
      <c r="K147" s="154">
        <f>K149+K150+K151+K152+K153+K154+K155+K148+K156+K157+K158+K159+K160+K162+K163+K164+K165+K166+K167+K161+K168</f>
        <v>2227000</v>
      </c>
      <c r="L147" s="154">
        <f>L149+L150+L151+L152+L153+L154+L155+L148+L156+L157+L158+L159+L160+L162+L163+L164+L165+L166+L167+L161+L168</f>
        <v>120443</v>
      </c>
      <c r="M147" s="154">
        <f>M149+M150+M151+M152+M153+M154+M155+M148+M156+M157+M158+M159+M160+M162+M163+M164+M165+M166+M167+M161+M168</f>
        <v>60443</v>
      </c>
      <c r="N147" s="154">
        <f t="shared" si="26"/>
        <v>2287000</v>
      </c>
      <c r="O147" s="154">
        <f>O149+O150+O151+O152+O153+O154+O155+O148+O156+O157+O158+O159+O160+O162+O163+O164+O165+O166+O167+O161</f>
        <v>2201000</v>
      </c>
      <c r="P147" s="154">
        <f>P149+P150+P151+P152+P153+P154+P155+P148+P156+P157+P158+P159+P160+P162+P163+P164+P165+P166+P167+P161+P168</f>
        <v>86000</v>
      </c>
      <c r="Q147" s="154">
        <f>Q149+Q150+Q151+Q152+Q153+Q154+Q155+Q148+Q156+Q157+Q158+Q159+Q160+Q162+Q163+Q164+Q165+Q166+Q167+Q161</f>
        <v>0</v>
      </c>
    </row>
    <row r="148" spans="1:17" s="168" customFormat="1" ht="15.75" customHeight="1">
      <c r="A148" s="26"/>
      <c r="B148" s="27" t="s">
        <v>654</v>
      </c>
      <c r="C148" s="282" t="s">
        <v>655</v>
      </c>
      <c r="D148" s="7"/>
      <c r="E148" s="16"/>
      <c r="F148" s="16"/>
      <c r="G148" s="16"/>
      <c r="H148" s="16"/>
      <c r="I148" s="16"/>
      <c r="J148" s="16"/>
      <c r="K148" s="7">
        <v>149000</v>
      </c>
      <c r="L148" s="7"/>
      <c r="M148" s="16"/>
      <c r="N148" s="7">
        <f t="shared" si="26"/>
        <v>149000</v>
      </c>
      <c r="O148" s="16">
        <f>N148</f>
        <v>149000</v>
      </c>
      <c r="P148" s="20">
        <v>0</v>
      </c>
      <c r="Q148" s="20">
        <v>0</v>
      </c>
    </row>
    <row r="149" spans="1:17" s="168" customFormat="1" ht="15.75" customHeight="1">
      <c r="A149" s="26"/>
      <c r="B149" s="27" t="s">
        <v>239</v>
      </c>
      <c r="C149" s="282" t="s">
        <v>667</v>
      </c>
      <c r="D149" s="7">
        <v>15218</v>
      </c>
      <c r="E149" s="16">
        <v>14500</v>
      </c>
      <c r="F149" s="16">
        <v>1000</v>
      </c>
      <c r="G149" s="16">
        <v>0</v>
      </c>
      <c r="H149" s="16">
        <v>17000</v>
      </c>
      <c r="I149" s="16">
        <v>0</v>
      </c>
      <c r="J149" s="16">
        <v>0</v>
      </c>
      <c r="K149" s="7">
        <v>19000</v>
      </c>
      <c r="L149" s="7">
        <v>943</v>
      </c>
      <c r="M149" s="16"/>
      <c r="N149" s="7">
        <f t="shared" si="26"/>
        <v>19943</v>
      </c>
      <c r="O149" s="16">
        <f aca="true" t="shared" si="27" ref="O149:O172">N149</f>
        <v>19943</v>
      </c>
      <c r="P149" s="20">
        <v>0</v>
      </c>
      <c r="Q149" s="20">
        <v>0</v>
      </c>
    </row>
    <row r="150" spans="1:17" s="168" customFormat="1" ht="15.75" customHeight="1">
      <c r="A150" s="26"/>
      <c r="B150" s="27" t="s">
        <v>241</v>
      </c>
      <c r="C150" s="282" t="s">
        <v>242</v>
      </c>
      <c r="D150" s="7">
        <v>782</v>
      </c>
      <c r="E150" s="16">
        <v>1200</v>
      </c>
      <c r="F150" s="16">
        <v>0</v>
      </c>
      <c r="G150" s="16">
        <v>14</v>
      </c>
      <c r="H150" s="16">
        <v>1415</v>
      </c>
      <c r="I150" s="16">
        <v>0</v>
      </c>
      <c r="J150" s="16">
        <v>0</v>
      </c>
      <c r="K150" s="7">
        <v>2000</v>
      </c>
      <c r="L150" s="7"/>
      <c r="M150" s="16">
        <v>443</v>
      </c>
      <c r="N150" s="7">
        <f t="shared" si="26"/>
        <v>1557</v>
      </c>
      <c r="O150" s="16">
        <f t="shared" si="27"/>
        <v>1557</v>
      </c>
      <c r="P150" s="20">
        <v>0</v>
      </c>
      <c r="Q150" s="20">
        <v>0</v>
      </c>
    </row>
    <row r="151" spans="1:17" s="168" customFormat="1" ht="24" customHeight="1">
      <c r="A151" s="26"/>
      <c r="B151" s="27" t="s">
        <v>357</v>
      </c>
      <c r="C151" s="282" t="s">
        <v>358</v>
      </c>
      <c r="D151" s="7">
        <v>1635532</v>
      </c>
      <c r="E151" s="16">
        <v>1917450</v>
      </c>
      <c r="F151" s="16">
        <v>0</v>
      </c>
      <c r="G151" s="16">
        <v>0</v>
      </c>
      <c r="H151" s="16">
        <v>1149573</v>
      </c>
      <c r="I151" s="16">
        <v>0</v>
      </c>
      <c r="J151" s="16">
        <v>0</v>
      </c>
      <c r="K151" s="7">
        <v>1388850</v>
      </c>
      <c r="L151" s="7"/>
      <c r="M151" s="16">
        <v>60000</v>
      </c>
      <c r="N151" s="7">
        <f t="shared" si="26"/>
        <v>1328850</v>
      </c>
      <c r="O151" s="16">
        <f t="shared" si="27"/>
        <v>1328850</v>
      </c>
      <c r="P151" s="20">
        <v>0</v>
      </c>
      <c r="Q151" s="20">
        <v>0</v>
      </c>
    </row>
    <row r="152" spans="1:17" s="168" customFormat="1" ht="15" customHeight="1">
      <c r="A152" s="26"/>
      <c r="B152" s="27" t="s">
        <v>359</v>
      </c>
      <c r="C152" s="282" t="s">
        <v>360</v>
      </c>
      <c r="D152" s="7">
        <v>15859</v>
      </c>
      <c r="E152" s="16">
        <v>46700</v>
      </c>
      <c r="F152" s="16">
        <v>0</v>
      </c>
      <c r="G152" s="16">
        <v>0</v>
      </c>
      <c r="H152" s="16">
        <v>5200</v>
      </c>
      <c r="I152" s="16">
        <v>0</v>
      </c>
      <c r="J152" s="16">
        <v>0</v>
      </c>
      <c r="K152" s="7">
        <v>147000</v>
      </c>
      <c r="L152" s="7">
        <v>32000</v>
      </c>
      <c r="M152" s="16">
        <v>0</v>
      </c>
      <c r="N152" s="7">
        <f t="shared" si="26"/>
        <v>179000</v>
      </c>
      <c r="O152" s="16">
        <f t="shared" si="27"/>
        <v>179000</v>
      </c>
      <c r="P152" s="20">
        <v>0</v>
      </c>
      <c r="Q152" s="20">
        <v>0</v>
      </c>
    </row>
    <row r="153" spans="1:17" s="168" customFormat="1" ht="15.75" customHeight="1">
      <c r="A153" s="26"/>
      <c r="B153" s="27" t="s">
        <v>361</v>
      </c>
      <c r="C153" s="282" t="s">
        <v>362</v>
      </c>
      <c r="D153" s="7">
        <v>96233</v>
      </c>
      <c r="E153" s="16">
        <v>146640</v>
      </c>
      <c r="F153" s="16">
        <v>0</v>
      </c>
      <c r="G153" s="16">
        <v>15640</v>
      </c>
      <c r="H153" s="16">
        <v>86500</v>
      </c>
      <c r="I153" s="16">
        <v>0</v>
      </c>
      <c r="J153" s="16">
        <v>0</v>
      </c>
      <c r="K153" s="7">
        <v>117000</v>
      </c>
      <c r="L153" s="7">
        <v>10000</v>
      </c>
      <c r="M153" s="16">
        <v>0</v>
      </c>
      <c r="N153" s="7">
        <f t="shared" si="26"/>
        <v>127000</v>
      </c>
      <c r="O153" s="16">
        <f t="shared" si="27"/>
        <v>127000</v>
      </c>
      <c r="P153" s="20">
        <v>0</v>
      </c>
      <c r="Q153" s="20">
        <v>0</v>
      </c>
    </row>
    <row r="154" spans="1:17" s="168" customFormat="1" ht="18" customHeight="1">
      <c r="A154" s="26"/>
      <c r="B154" s="28" t="s">
        <v>299</v>
      </c>
      <c r="C154" s="282" t="s">
        <v>313</v>
      </c>
      <c r="D154" s="7">
        <v>39438</v>
      </c>
      <c r="E154" s="16">
        <v>71560</v>
      </c>
      <c r="F154" s="16">
        <v>0</v>
      </c>
      <c r="G154" s="16">
        <v>26000</v>
      </c>
      <c r="H154" s="16">
        <v>38000</v>
      </c>
      <c r="I154" s="16">
        <v>0</v>
      </c>
      <c r="J154" s="16">
        <v>0</v>
      </c>
      <c r="K154" s="7">
        <v>10500</v>
      </c>
      <c r="L154" s="7">
        <v>1761</v>
      </c>
      <c r="M154" s="16"/>
      <c r="N154" s="7">
        <f t="shared" si="26"/>
        <v>12261</v>
      </c>
      <c r="O154" s="16">
        <f t="shared" si="27"/>
        <v>12261</v>
      </c>
      <c r="P154" s="20">
        <v>0</v>
      </c>
      <c r="Q154" s="20">
        <v>0</v>
      </c>
    </row>
    <row r="155" spans="1:17" s="168" customFormat="1" ht="15.75" customHeight="1">
      <c r="A155" s="26"/>
      <c r="B155" s="27" t="s">
        <v>245</v>
      </c>
      <c r="C155" s="282" t="s">
        <v>246</v>
      </c>
      <c r="D155" s="7">
        <v>843962</v>
      </c>
      <c r="E155" s="16">
        <v>12030</v>
      </c>
      <c r="F155" s="16">
        <v>0</v>
      </c>
      <c r="G155" s="16">
        <v>5000</v>
      </c>
      <c r="H155" s="16">
        <v>5410</v>
      </c>
      <c r="I155" s="16">
        <v>0</v>
      </c>
      <c r="J155" s="16">
        <v>0</v>
      </c>
      <c r="K155" s="7">
        <v>650</v>
      </c>
      <c r="L155" s="7">
        <v>27</v>
      </c>
      <c r="M155" s="16"/>
      <c r="N155" s="7">
        <f t="shared" si="26"/>
        <v>677</v>
      </c>
      <c r="O155" s="16">
        <f t="shared" si="27"/>
        <v>677</v>
      </c>
      <c r="P155" s="20">
        <v>0</v>
      </c>
      <c r="Q155" s="20">
        <v>0</v>
      </c>
    </row>
    <row r="156" spans="1:17" s="168" customFormat="1" ht="15.75" customHeight="1">
      <c r="A156" s="26"/>
      <c r="B156" s="27" t="s">
        <v>656</v>
      </c>
      <c r="C156" s="282" t="s">
        <v>657</v>
      </c>
      <c r="D156" s="7"/>
      <c r="E156" s="16"/>
      <c r="F156" s="16"/>
      <c r="G156" s="16"/>
      <c r="H156" s="16"/>
      <c r="I156" s="16"/>
      <c r="J156" s="16"/>
      <c r="K156" s="7">
        <v>93000</v>
      </c>
      <c r="L156" s="7">
        <v>3000</v>
      </c>
      <c r="M156" s="16"/>
      <c r="N156" s="7">
        <f t="shared" si="26"/>
        <v>96000</v>
      </c>
      <c r="O156" s="16">
        <f t="shared" si="27"/>
        <v>96000</v>
      </c>
      <c r="P156" s="20">
        <v>0</v>
      </c>
      <c r="Q156" s="20">
        <v>0</v>
      </c>
    </row>
    <row r="157" spans="1:17" s="168" customFormat="1" ht="15.75" customHeight="1">
      <c r="A157" s="26"/>
      <c r="B157" s="27" t="s">
        <v>247</v>
      </c>
      <c r="C157" s="282" t="s">
        <v>248</v>
      </c>
      <c r="D157" s="7"/>
      <c r="E157" s="16">
        <v>296300</v>
      </c>
      <c r="F157" s="16">
        <v>62410</v>
      </c>
      <c r="G157" s="16">
        <v>0</v>
      </c>
      <c r="H157" s="16">
        <v>173952</v>
      </c>
      <c r="I157" s="16">
        <v>0</v>
      </c>
      <c r="J157" s="16">
        <v>0</v>
      </c>
      <c r="K157" s="7">
        <v>143820</v>
      </c>
      <c r="L157" s="7">
        <v>62712</v>
      </c>
      <c r="M157" s="16">
        <v>0</v>
      </c>
      <c r="N157" s="7">
        <f t="shared" si="26"/>
        <v>206532</v>
      </c>
      <c r="O157" s="16">
        <f>N157-P157</f>
        <v>150532</v>
      </c>
      <c r="P157" s="20">
        <v>56000</v>
      </c>
      <c r="Q157" s="20">
        <v>0</v>
      </c>
    </row>
    <row r="158" spans="1:17" s="168" customFormat="1" ht="16.5" customHeight="1">
      <c r="A158" s="26"/>
      <c r="B158" s="27" t="s">
        <v>366</v>
      </c>
      <c r="C158" s="282" t="s">
        <v>367</v>
      </c>
      <c r="D158" s="7"/>
      <c r="E158" s="16">
        <v>0</v>
      </c>
      <c r="F158" s="16"/>
      <c r="G158" s="16"/>
      <c r="H158" s="16">
        <v>88000</v>
      </c>
      <c r="I158" s="16">
        <v>0</v>
      </c>
      <c r="J158" s="16">
        <v>0</v>
      </c>
      <c r="K158" s="7">
        <v>20000</v>
      </c>
      <c r="L158" s="7"/>
      <c r="M158" s="16"/>
      <c r="N158" s="7">
        <f t="shared" si="26"/>
        <v>20000</v>
      </c>
      <c r="O158" s="16">
        <f t="shared" si="27"/>
        <v>20000</v>
      </c>
      <c r="P158" s="20">
        <v>0</v>
      </c>
      <c r="Q158" s="20">
        <v>0</v>
      </c>
    </row>
    <row r="159" spans="1:17" s="168" customFormat="1" ht="15.75" customHeight="1">
      <c r="A159" s="26"/>
      <c r="B159" s="27" t="s">
        <v>249</v>
      </c>
      <c r="C159" s="282" t="s">
        <v>368</v>
      </c>
      <c r="D159" s="7"/>
      <c r="E159" s="16">
        <v>25000</v>
      </c>
      <c r="F159" s="16">
        <v>0</v>
      </c>
      <c r="G159" s="16">
        <v>5100</v>
      </c>
      <c r="H159" s="16">
        <v>17000</v>
      </c>
      <c r="I159" s="16">
        <v>0</v>
      </c>
      <c r="J159" s="16">
        <v>0</v>
      </c>
      <c r="K159" s="7">
        <v>18000</v>
      </c>
      <c r="L159" s="7"/>
      <c r="M159" s="16"/>
      <c r="N159" s="7">
        <f t="shared" si="26"/>
        <v>18000</v>
      </c>
      <c r="O159" s="16">
        <f t="shared" si="27"/>
        <v>18000</v>
      </c>
      <c r="P159" s="20">
        <v>0</v>
      </c>
      <c r="Q159" s="20">
        <v>0</v>
      </c>
    </row>
    <row r="160" spans="1:17" s="168" customFormat="1" ht="17.25" customHeight="1">
      <c r="A160" s="26"/>
      <c r="B160" s="27" t="s">
        <v>251</v>
      </c>
      <c r="C160" s="282" t="s">
        <v>369</v>
      </c>
      <c r="D160" s="7"/>
      <c r="E160" s="16">
        <v>10000</v>
      </c>
      <c r="F160" s="16">
        <v>5000</v>
      </c>
      <c r="G160" s="16">
        <v>0</v>
      </c>
      <c r="H160" s="16">
        <v>43545</v>
      </c>
      <c r="I160" s="16">
        <v>0</v>
      </c>
      <c r="J160" s="16">
        <v>0</v>
      </c>
      <c r="K160" s="7">
        <v>12000</v>
      </c>
      <c r="L160" s="7"/>
      <c r="M160" s="16"/>
      <c r="N160" s="7">
        <f t="shared" si="26"/>
        <v>12000</v>
      </c>
      <c r="O160" s="16">
        <f t="shared" si="27"/>
        <v>12000</v>
      </c>
      <c r="P160" s="20">
        <v>0</v>
      </c>
      <c r="Q160" s="20">
        <v>0</v>
      </c>
    </row>
    <row r="161" spans="1:17" s="168" customFormat="1" ht="17.25" customHeight="1">
      <c r="A161" s="26"/>
      <c r="B161" s="27" t="s">
        <v>320</v>
      </c>
      <c r="C161" s="282" t="s">
        <v>321</v>
      </c>
      <c r="D161" s="7"/>
      <c r="E161" s="16"/>
      <c r="F161" s="16"/>
      <c r="G161" s="16"/>
      <c r="H161" s="16"/>
      <c r="I161" s="16"/>
      <c r="J161" s="16"/>
      <c r="K161" s="7">
        <v>14520</v>
      </c>
      <c r="L161" s="7"/>
      <c r="M161" s="16"/>
      <c r="N161" s="7">
        <f t="shared" si="26"/>
        <v>14520</v>
      </c>
      <c r="O161" s="16">
        <f t="shared" si="27"/>
        <v>14520</v>
      </c>
      <c r="P161" s="20">
        <v>0</v>
      </c>
      <c r="Q161" s="20">
        <v>0</v>
      </c>
    </row>
    <row r="162" spans="1:17" s="168" customFormat="1" ht="17.25" customHeight="1">
      <c r="A162" s="26"/>
      <c r="B162" s="27" t="s">
        <v>253</v>
      </c>
      <c r="C162" s="282" t="s">
        <v>370</v>
      </c>
      <c r="D162" s="7"/>
      <c r="E162" s="16">
        <v>58800</v>
      </c>
      <c r="F162" s="16">
        <v>10000</v>
      </c>
      <c r="G162" s="16">
        <v>0</v>
      </c>
      <c r="H162" s="16">
        <v>56000</v>
      </c>
      <c r="I162" s="16">
        <v>0</v>
      </c>
      <c r="J162" s="16">
        <v>0</v>
      </c>
      <c r="K162" s="7">
        <v>45000</v>
      </c>
      <c r="L162" s="7">
        <v>0</v>
      </c>
      <c r="M162" s="16">
        <v>0</v>
      </c>
      <c r="N162" s="7">
        <f t="shared" si="26"/>
        <v>45000</v>
      </c>
      <c r="O162" s="16">
        <f>N162-P162</f>
        <v>45000</v>
      </c>
      <c r="P162" s="20">
        <v>0</v>
      </c>
      <c r="Q162" s="20">
        <v>0</v>
      </c>
    </row>
    <row r="163" spans="1:17" s="168" customFormat="1" ht="18" customHeight="1">
      <c r="A163" s="26"/>
      <c r="B163" s="27" t="s">
        <v>255</v>
      </c>
      <c r="C163" s="282" t="s">
        <v>256</v>
      </c>
      <c r="D163" s="7"/>
      <c r="E163" s="16">
        <v>25000</v>
      </c>
      <c r="F163" s="16">
        <v>0</v>
      </c>
      <c r="G163" s="16">
        <v>17000</v>
      </c>
      <c r="H163" s="16">
        <v>8000</v>
      </c>
      <c r="I163" s="16">
        <v>0</v>
      </c>
      <c r="J163" s="16">
        <v>0</v>
      </c>
      <c r="K163" s="7">
        <v>7000</v>
      </c>
      <c r="L163" s="7"/>
      <c r="M163" s="16"/>
      <c r="N163" s="7">
        <f t="shared" si="26"/>
        <v>7000</v>
      </c>
      <c r="O163" s="16">
        <f t="shared" si="27"/>
        <v>7000</v>
      </c>
      <c r="P163" s="20">
        <v>0</v>
      </c>
      <c r="Q163" s="20">
        <v>0</v>
      </c>
    </row>
    <row r="164" spans="1:17" s="168" customFormat="1" ht="18" customHeight="1">
      <c r="A164" s="26"/>
      <c r="B164" s="27" t="s">
        <v>257</v>
      </c>
      <c r="C164" s="282" t="s">
        <v>258</v>
      </c>
      <c r="D164" s="7"/>
      <c r="E164" s="16">
        <v>0</v>
      </c>
      <c r="F164" s="16"/>
      <c r="G164" s="16"/>
      <c r="H164" s="16">
        <v>7000</v>
      </c>
      <c r="I164" s="16">
        <v>0</v>
      </c>
      <c r="J164" s="16">
        <v>0</v>
      </c>
      <c r="K164" s="7">
        <v>8000</v>
      </c>
      <c r="L164" s="7"/>
      <c r="M164" s="16"/>
      <c r="N164" s="7">
        <f t="shared" si="26"/>
        <v>8000</v>
      </c>
      <c r="O164" s="16">
        <f t="shared" si="27"/>
        <v>8000</v>
      </c>
      <c r="P164" s="20">
        <v>0</v>
      </c>
      <c r="Q164" s="20">
        <v>0</v>
      </c>
    </row>
    <row r="165" spans="1:17" s="168" customFormat="1" ht="18" customHeight="1">
      <c r="A165" s="26"/>
      <c r="B165" s="27" t="s">
        <v>259</v>
      </c>
      <c r="C165" s="282" t="s">
        <v>260</v>
      </c>
      <c r="D165" s="7"/>
      <c r="E165" s="16">
        <v>2000</v>
      </c>
      <c r="F165" s="16">
        <v>0</v>
      </c>
      <c r="G165" s="16">
        <v>1173</v>
      </c>
      <c r="H165" s="16">
        <v>676</v>
      </c>
      <c r="I165" s="16">
        <v>0</v>
      </c>
      <c r="J165" s="16">
        <v>0</v>
      </c>
      <c r="K165" s="7">
        <v>1000</v>
      </c>
      <c r="L165" s="7"/>
      <c r="M165" s="16"/>
      <c r="N165" s="7">
        <f t="shared" si="26"/>
        <v>1000</v>
      </c>
      <c r="O165" s="16">
        <f t="shared" si="27"/>
        <v>1000</v>
      </c>
      <c r="P165" s="20">
        <v>0</v>
      </c>
      <c r="Q165" s="20">
        <v>0</v>
      </c>
    </row>
    <row r="166" spans="1:17" s="168" customFormat="1" ht="18.75" customHeight="1">
      <c r="A166" s="26"/>
      <c r="B166" s="27" t="s">
        <v>319</v>
      </c>
      <c r="C166" s="282" t="s">
        <v>353</v>
      </c>
      <c r="D166" s="7">
        <v>62500</v>
      </c>
      <c r="E166" s="16">
        <v>160</v>
      </c>
      <c r="F166" s="16">
        <v>0</v>
      </c>
      <c r="G166" s="16">
        <v>0</v>
      </c>
      <c r="H166" s="16">
        <v>160</v>
      </c>
      <c r="I166" s="16">
        <v>0</v>
      </c>
      <c r="J166" s="16">
        <v>0</v>
      </c>
      <c r="K166" s="7">
        <v>10500</v>
      </c>
      <c r="L166" s="7"/>
      <c r="M166" s="16"/>
      <c r="N166" s="7">
        <f t="shared" si="26"/>
        <v>10500</v>
      </c>
      <c r="O166" s="16">
        <f t="shared" si="27"/>
        <v>10500</v>
      </c>
      <c r="P166" s="20">
        <v>0</v>
      </c>
      <c r="Q166" s="20">
        <v>0</v>
      </c>
    </row>
    <row r="167" spans="1:17" s="168" customFormat="1" ht="17.25" customHeight="1">
      <c r="A167" s="26"/>
      <c r="B167" s="27" t="s">
        <v>373</v>
      </c>
      <c r="C167" s="282" t="s">
        <v>661</v>
      </c>
      <c r="D167" s="7"/>
      <c r="E167" s="16"/>
      <c r="F167" s="16"/>
      <c r="G167" s="16"/>
      <c r="H167" s="16"/>
      <c r="I167" s="16"/>
      <c r="J167" s="16"/>
      <c r="K167" s="7">
        <v>160</v>
      </c>
      <c r="L167" s="7"/>
      <c r="M167" s="16"/>
      <c r="N167" s="7">
        <f t="shared" si="26"/>
        <v>160</v>
      </c>
      <c r="O167" s="16">
        <f t="shared" si="27"/>
        <v>160</v>
      </c>
      <c r="P167" s="20">
        <v>0</v>
      </c>
      <c r="Q167" s="20">
        <v>0</v>
      </c>
    </row>
    <row r="168" spans="1:17" s="168" customFormat="1" ht="18" customHeight="1">
      <c r="A168" s="26"/>
      <c r="B168" s="27" t="s">
        <v>279</v>
      </c>
      <c r="C168" s="282" t="s">
        <v>163</v>
      </c>
      <c r="D168" s="7"/>
      <c r="E168" s="16"/>
      <c r="F168" s="16"/>
      <c r="G168" s="16"/>
      <c r="H168" s="16"/>
      <c r="I168" s="16"/>
      <c r="J168" s="16"/>
      <c r="K168" s="7">
        <v>20000</v>
      </c>
      <c r="L168" s="307">
        <v>10000</v>
      </c>
      <c r="M168" s="16"/>
      <c r="N168" s="7">
        <f t="shared" si="26"/>
        <v>30000</v>
      </c>
      <c r="O168" s="16"/>
      <c r="P168" s="20">
        <f>N168</f>
        <v>30000</v>
      </c>
      <c r="Q168" s="20"/>
    </row>
    <row r="169" spans="1:17" s="168" customFormat="1" ht="19.5" customHeight="1">
      <c r="A169" s="181" t="s">
        <v>658</v>
      </c>
      <c r="B169" s="192"/>
      <c r="C169" s="182" t="s">
        <v>436</v>
      </c>
      <c r="D169" s="154"/>
      <c r="E169" s="154"/>
      <c r="F169" s="154"/>
      <c r="G169" s="154"/>
      <c r="H169" s="154"/>
      <c r="I169" s="154"/>
      <c r="J169" s="154"/>
      <c r="K169" s="514">
        <f>SUM(K170:K172)</f>
        <v>3000</v>
      </c>
      <c r="L169" s="514">
        <f>SUM(L170:L172)</f>
        <v>700</v>
      </c>
      <c r="M169" s="512">
        <f>SUM(M170:M172)</f>
        <v>700</v>
      </c>
      <c r="N169" s="154">
        <f t="shared" si="26"/>
        <v>3000</v>
      </c>
      <c r="O169" s="154">
        <f t="shared" si="27"/>
        <v>3000</v>
      </c>
      <c r="P169" s="201">
        <f>SUM(P171:P172)</f>
        <v>0</v>
      </c>
      <c r="Q169" s="201">
        <f>SUM(Q171:Q172)</f>
        <v>0</v>
      </c>
    </row>
    <row r="170" spans="1:17" s="168" customFormat="1" ht="16.5" customHeight="1">
      <c r="A170" s="507"/>
      <c r="B170" s="27" t="s">
        <v>92</v>
      </c>
      <c r="C170" s="282" t="s">
        <v>653</v>
      </c>
      <c r="D170" s="508"/>
      <c r="E170" s="508"/>
      <c r="F170" s="508"/>
      <c r="G170" s="508"/>
      <c r="H170" s="508"/>
      <c r="I170" s="508"/>
      <c r="J170" s="508"/>
      <c r="K170" s="510">
        <v>0</v>
      </c>
      <c r="L170" s="515">
        <v>700</v>
      </c>
      <c r="M170" s="510">
        <v>0</v>
      </c>
      <c r="N170" s="173">
        <f t="shared" si="26"/>
        <v>700</v>
      </c>
      <c r="O170" s="173">
        <f t="shared" si="27"/>
        <v>700</v>
      </c>
      <c r="P170" s="509"/>
      <c r="Q170" s="509"/>
    </row>
    <row r="171" spans="1:17" s="168" customFormat="1" ht="16.5" customHeight="1">
      <c r="A171" s="13"/>
      <c r="B171" s="27" t="s">
        <v>247</v>
      </c>
      <c r="C171" s="282" t="s">
        <v>248</v>
      </c>
      <c r="D171" s="6"/>
      <c r="E171" s="6"/>
      <c r="F171" s="6"/>
      <c r="G171" s="6"/>
      <c r="H171" s="6"/>
      <c r="I171" s="6"/>
      <c r="J171" s="6"/>
      <c r="K171" s="16">
        <v>1400</v>
      </c>
      <c r="L171" s="516">
        <v>0</v>
      </c>
      <c r="M171" s="16">
        <v>700</v>
      </c>
      <c r="N171" s="7">
        <f t="shared" si="26"/>
        <v>700</v>
      </c>
      <c r="O171" s="16">
        <f t="shared" si="27"/>
        <v>700</v>
      </c>
      <c r="P171" s="17">
        <v>0</v>
      </c>
      <c r="Q171" s="17">
        <v>0</v>
      </c>
    </row>
    <row r="172" spans="1:17" s="168" customFormat="1" ht="16.5" customHeight="1">
      <c r="A172" s="13"/>
      <c r="B172" s="27" t="s">
        <v>253</v>
      </c>
      <c r="C172" s="282" t="s">
        <v>224</v>
      </c>
      <c r="D172" s="6"/>
      <c r="E172" s="6"/>
      <c r="F172" s="6"/>
      <c r="G172" s="6"/>
      <c r="H172" s="6"/>
      <c r="I172" s="6"/>
      <c r="J172" s="6"/>
      <c r="K172" s="16">
        <v>1600</v>
      </c>
      <c r="L172" s="516">
        <v>0</v>
      </c>
      <c r="M172" s="6"/>
      <c r="N172" s="7">
        <f t="shared" si="26"/>
        <v>1600</v>
      </c>
      <c r="O172" s="16">
        <f t="shared" si="27"/>
        <v>1600</v>
      </c>
      <c r="P172" s="17">
        <v>0</v>
      </c>
      <c r="Q172" s="17">
        <v>0</v>
      </c>
    </row>
    <row r="173" spans="1:17" s="168" customFormat="1" ht="31.5" customHeight="1">
      <c r="A173" s="158" t="s">
        <v>384</v>
      </c>
      <c r="B173" s="162"/>
      <c r="C173" s="164" t="s">
        <v>726</v>
      </c>
      <c r="D173" s="159" t="e">
        <f>D174+#REF!</f>
        <v>#REF!</v>
      </c>
      <c r="E173" s="159" t="e">
        <f>E174+#REF!</f>
        <v>#REF!</v>
      </c>
      <c r="F173" s="159" t="e">
        <f>F174+#REF!</f>
        <v>#REF!</v>
      </c>
      <c r="G173" s="159" t="e">
        <f>G174+#REF!</f>
        <v>#REF!</v>
      </c>
      <c r="H173" s="159" t="e">
        <f>H174+#REF!</f>
        <v>#REF!</v>
      </c>
      <c r="I173" s="159" t="e">
        <f>I174+#REF!</f>
        <v>#REF!</v>
      </c>
      <c r="J173" s="159" t="e">
        <f>J174+#REF!</f>
        <v>#REF!</v>
      </c>
      <c r="K173" s="159">
        <f>K174+K176</f>
        <v>706093</v>
      </c>
      <c r="L173" s="159">
        <f>L174+L176</f>
        <v>0</v>
      </c>
      <c r="M173" s="159">
        <f>M174+M176</f>
        <v>0</v>
      </c>
      <c r="N173" s="159">
        <f t="shared" si="26"/>
        <v>706093</v>
      </c>
      <c r="O173" s="159">
        <f>O174</f>
        <v>0</v>
      </c>
      <c r="P173" s="161">
        <f>P174</f>
        <v>706093</v>
      </c>
      <c r="Q173" s="161">
        <f>Q174</f>
        <v>0</v>
      </c>
    </row>
    <row r="174" spans="1:17" s="168" customFormat="1" ht="27" customHeight="1">
      <c r="A174" s="181" t="s">
        <v>385</v>
      </c>
      <c r="B174" s="192"/>
      <c r="C174" s="182" t="s">
        <v>386</v>
      </c>
      <c r="D174" s="154">
        <f>D175</f>
        <v>2700</v>
      </c>
      <c r="E174" s="154">
        <f>E175</f>
        <v>360000</v>
      </c>
      <c r="F174" s="154">
        <f>F175</f>
        <v>0</v>
      </c>
      <c r="G174" s="154">
        <f>G175</f>
        <v>0</v>
      </c>
      <c r="H174" s="154">
        <f>H175+H176</f>
        <v>496142</v>
      </c>
      <c r="I174" s="154">
        <f>I175+I176</f>
        <v>0</v>
      </c>
      <c r="J174" s="154">
        <f>J175+J176</f>
        <v>0</v>
      </c>
      <c r="K174" s="154">
        <f>K175</f>
        <v>525200</v>
      </c>
      <c r="L174" s="154">
        <f>L175</f>
        <v>0</v>
      </c>
      <c r="M174" s="154">
        <f>M175</f>
        <v>0</v>
      </c>
      <c r="N174" s="288">
        <f t="shared" si="26"/>
        <v>525200</v>
      </c>
      <c r="O174" s="154">
        <f>O175+O176</f>
        <v>0</v>
      </c>
      <c r="P174" s="154">
        <f>P175+P176</f>
        <v>706093</v>
      </c>
      <c r="Q174" s="154">
        <f>Q175+Q176</f>
        <v>0</v>
      </c>
    </row>
    <row r="175" spans="1:17" s="168" customFormat="1" ht="20.25" customHeight="1">
      <c r="A175" s="26"/>
      <c r="B175" s="27" t="s">
        <v>387</v>
      </c>
      <c r="C175" s="282" t="s">
        <v>203</v>
      </c>
      <c r="D175" s="7">
        <v>2700</v>
      </c>
      <c r="E175" s="16">
        <v>360000</v>
      </c>
      <c r="F175" s="16">
        <v>0</v>
      </c>
      <c r="G175" s="16">
        <v>0</v>
      </c>
      <c r="H175" s="16">
        <v>463742</v>
      </c>
      <c r="I175" s="16">
        <v>0</v>
      </c>
      <c r="J175" s="16">
        <v>0</v>
      </c>
      <c r="K175" s="7">
        <v>525200</v>
      </c>
      <c r="L175" s="7"/>
      <c r="M175" s="16">
        <v>0</v>
      </c>
      <c r="N175" s="7">
        <f t="shared" si="26"/>
        <v>525200</v>
      </c>
      <c r="O175" s="16">
        <v>0</v>
      </c>
      <c r="P175" s="20">
        <f>N175</f>
        <v>525200</v>
      </c>
      <c r="Q175" s="20">
        <v>0</v>
      </c>
    </row>
    <row r="176" spans="1:17" s="167" customFormat="1" ht="52.5" customHeight="1">
      <c r="A176" s="181" t="s">
        <v>388</v>
      </c>
      <c r="B176" s="192"/>
      <c r="C176" s="182" t="s">
        <v>535</v>
      </c>
      <c r="D176" s="154">
        <v>0</v>
      </c>
      <c r="E176" s="154">
        <v>390000</v>
      </c>
      <c r="F176" s="154">
        <v>0</v>
      </c>
      <c r="G176" s="154">
        <v>0</v>
      </c>
      <c r="H176" s="154">
        <v>32400</v>
      </c>
      <c r="I176" s="154">
        <v>0</v>
      </c>
      <c r="J176" s="154">
        <v>0</v>
      </c>
      <c r="K176" s="154">
        <f>K177+K178</f>
        <v>180893</v>
      </c>
      <c r="L176" s="154">
        <f>L177+L178</f>
        <v>0</v>
      </c>
      <c r="M176" s="154">
        <f>M177+M178</f>
        <v>0</v>
      </c>
      <c r="N176" s="288">
        <f t="shared" si="26"/>
        <v>180893</v>
      </c>
      <c r="O176" s="154">
        <f aca="true" t="shared" si="28" ref="O176:Q177">O177+O178</f>
        <v>0</v>
      </c>
      <c r="P176" s="154">
        <f t="shared" si="28"/>
        <v>180893</v>
      </c>
      <c r="Q176" s="154">
        <f t="shared" si="28"/>
        <v>0</v>
      </c>
    </row>
    <row r="177" spans="1:17" s="167" customFormat="1" ht="20.25" customHeight="1">
      <c r="A177" s="26"/>
      <c r="B177" s="27" t="s">
        <v>389</v>
      </c>
      <c r="C177" s="282" t="s">
        <v>17</v>
      </c>
      <c r="D177" s="16"/>
      <c r="E177" s="16"/>
      <c r="F177" s="16"/>
      <c r="G177" s="16"/>
      <c r="H177" s="16"/>
      <c r="I177" s="16"/>
      <c r="J177" s="16"/>
      <c r="K177" s="16">
        <v>73217</v>
      </c>
      <c r="L177" s="16"/>
      <c r="M177" s="16"/>
      <c r="N177" s="7">
        <f t="shared" si="26"/>
        <v>73217</v>
      </c>
      <c r="O177" s="6">
        <f t="shared" si="28"/>
        <v>0</v>
      </c>
      <c r="P177" s="16">
        <f>N177</f>
        <v>73217</v>
      </c>
      <c r="Q177" s="16"/>
    </row>
    <row r="178" spans="1:17" s="168" customFormat="1" ht="20.25" customHeight="1">
      <c r="A178" s="26"/>
      <c r="B178" s="27" t="s">
        <v>389</v>
      </c>
      <c r="C178" s="282" t="s">
        <v>17</v>
      </c>
      <c r="D178" s="7"/>
      <c r="E178" s="16"/>
      <c r="F178" s="16"/>
      <c r="G178" s="16"/>
      <c r="H178" s="16"/>
      <c r="I178" s="16"/>
      <c r="J178" s="16"/>
      <c r="K178" s="16">
        <v>107676</v>
      </c>
      <c r="L178" s="16"/>
      <c r="M178" s="16"/>
      <c r="N178" s="7">
        <f aca="true" t="shared" si="29" ref="N178:N234">K178+L178-M178</f>
        <v>107676</v>
      </c>
      <c r="O178" s="16">
        <v>0</v>
      </c>
      <c r="P178" s="16">
        <f>N178</f>
        <v>107676</v>
      </c>
      <c r="Q178" s="17">
        <v>0</v>
      </c>
    </row>
    <row r="179" spans="1:17" s="168" customFormat="1" ht="16.5" customHeight="1">
      <c r="A179" s="158" t="s">
        <v>390</v>
      </c>
      <c r="B179" s="162"/>
      <c r="C179" s="164" t="s">
        <v>391</v>
      </c>
      <c r="D179" s="159" t="e">
        <f aca="true" t="shared" si="30" ref="D179:Q179">D180</f>
        <v>#REF!</v>
      </c>
      <c r="E179" s="159" t="e">
        <f t="shared" si="30"/>
        <v>#REF!</v>
      </c>
      <c r="F179" s="159">
        <f t="shared" si="30"/>
        <v>0</v>
      </c>
      <c r="G179" s="159">
        <f t="shared" si="30"/>
        <v>0</v>
      </c>
      <c r="H179" s="159">
        <f aca="true" t="shared" si="31" ref="H179:M179">H180</f>
        <v>53260</v>
      </c>
      <c r="I179" s="159">
        <f t="shared" si="31"/>
        <v>0</v>
      </c>
      <c r="J179" s="159">
        <f t="shared" si="31"/>
        <v>0</v>
      </c>
      <c r="K179" s="159">
        <f t="shared" si="31"/>
        <v>296070</v>
      </c>
      <c r="L179" s="159">
        <f t="shared" si="31"/>
        <v>0</v>
      </c>
      <c r="M179" s="159">
        <f t="shared" si="31"/>
        <v>0</v>
      </c>
      <c r="N179" s="159">
        <f t="shared" si="29"/>
        <v>296070</v>
      </c>
      <c r="O179" s="159">
        <f t="shared" si="30"/>
        <v>0</v>
      </c>
      <c r="P179" s="161">
        <f t="shared" si="30"/>
        <v>296070</v>
      </c>
      <c r="Q179" s="161">
        <f t="shared" si="30"/>
        <v>0</v>
      </c>
    </row>
    <row r="180" spans="1:17" s="168" customFormat="1" ht="15" customHeight="1">
      <c r="A180" s="181" t="s">
        <v>392</v>
      </c>
      <c r="B180" s="192"/>
      <c r="C180" s="182" t="s">
        <v>393</v>
      </c>
      <c r="D180" s="154" t="e">
        <f>D181+D182+#REF!</f>
        <v>#REF!</v>
      </c>
      <c r="E180" s="154" t="e">
        <f>E181+E182+#REF!</f>
        <v>#REF!</v>
      </c>
      <c r="F180" s="154">
        <f aca="true" t="shared" si="32" ref="F180:Q180">F181+F182</f>
        <v>0</v>
      </c>
      <c r="G180" s="154">
        <f t="shared" si="32"/>
        <v>0</v>
      </c>
      <c r="H180" s="154">
        <f t="shared" si="32"/>
        <v>53260</v>
      </c>
      <c r="I180" s="154">
        <f t="shared" si="32"/>
        <v>0</v>
      </c>
      <c r="J180" s="154">
        <f t="shared" si="32"/>
        <v>0</v>
      </c>
      <c r="K180" s="154">
        <f>K181+K182</f>
        <v>296070</v>
      </c>
      <c r="L180" s="154">
        <f>L181+L182</f>
        <v>0</v>
      </c>
      <c r="M180" s="154">
        <f>M181+M182</f>
        <v>0</v>
      </c>
      <c r="N180" s="288">
        <f t="shared" si="29"/>
        <v>296070</v>
      </c>
      <c r="O180" s="154">
        <f t="shared" si="32"/>
        <v>0</v>
      </c>
      <c r="P180" s="154">
        <f t="shared" si="32"/>
        <v>296070</v>
      </c>
      <c r="Q180" s="152">
        <f t="shared" si="32"/>
        <v>0</v>
      </c>
    </row>
    <row r="181" spans="1:17" s="168" customFormat="1" ht="17.25" customHeight="1">
      <c r="A181" s="26"/>
      <c r="B181" s="27" t="s">
        <v>394</v>
      </c>
      <c r="C181" s="282" t="s">
        <v>395</v>
      </c>
      <c r="D181" s="7">
        <v>0</v>
      </c>
      <c r="E181" s="16">
        <v>0</v>
      </c>
      <c r="F181" s="16">
        <v>0</v>
      </c>
      <c r="G181" s="16">
        <v>0</v>
      </c>
      <c r="H181" s="7">
        <v>18000</v>
      </c>
      <c r="I181" s="7"/>
      <c r="J181" s="7">
        <v>0</v>
      </c>
      <c r="K181" s="7">
        <v>0</v>
      </c>
      <c r="L181" s="7"/>
      <c r="M181" s="7"/>
      <c r="N181" s="7">
        <f t="shared" si="29"/>
        <v>0</v>
      </c>
      <c r="O181" s="16">
        <v>0</v>
      </c>
      <c r="P181" s="20">
        <f>K181</f>
        <v>0</v>
      </c>
      <c r="Q181" s="20">
        <v>0</v>
      </c>
    </row>
    <row r="182" spans="1:17" s="168" customFormat="1" ht="17.25" customHeight="1">
      <c r="A182" s="26"/>
      <c r="B182" s="27" t="s">
        <v>394</v>
      </c>
      <c r="C182" s="282" t="s">
        <v>396</v>
      </c>
      <c r="D182" s="7">
        <v>0</v>
      </c>
      <c r="E182" s="16">
        <v>0</v>
      </c>
      <c r="F182" s="16">
        <v>0</v>
      </c>
      <c r="G182" s="16">
        <v>0</v>
      </c>
      <c r="H182" s="7">
        <v>35260</v>
      </c>
      <c r="I182" s="7">
        <v>0</v>
      </c>
      <c r="J182" s="7">
        <v>0</v>
      </c>
      <c r="K182" s="7">
        <v>296070</v>
      </c>
      <c r="L182" s="7"/>
      <c r="M182" s="7">
        <v>0</v>
      </c>
      <c r="N182" s="7">
        <f t="shared" si="29"/>
        <v>296070</v>
      </c>
      <c r="O182" s="16">
        <v>0</v>
      </c>
      <c r="P182" s="20">
        <f>N182</f>
        <v>296070</v>
      </c>
      <c r="Q182" s="20">
        <v>0</v>
      </c>
    </row>
    <row r="183" spans="1:17" s="168" customFormat="1" ht="16.5" customHeight="1">
      <c r="A183" s="158" t="s">
        <v>397</v>
      </c>
      <c r="B183" s="162"/>
      <c r="C183" s="164" t="s">
        <v>398</v>
      </c>
      <c r="D183" s="159" t="e">
        <f>D184+D200+D211+#REF!+D240+#REF!+D265+#REF!</f>
        <v>#REF!</v>
      </c>
      <c r="E183" s="159" t="e">
        <f>E184+E200+E211+#REF!+E240+#REF!+E265+#REF!+#REF!+E278+E275+#REF!</f>
        <v>#REF!</v>
      </c>
      <c r="F183" s="159" t="e">
        <f>F184+F200+F211+F240+#REF!+#REF!+F265+#REF!+F275+F278+#REF!+#REF!</f>
        <v>#REF!</v>
      </c>
      <c r="G183" s="159" t="e">
        <f>G184+G200+G211+G240+#REF!+#REF!+G265+#REF!+G275+G278+#REF!+#REF!</f>
        <v>#REF!</v>
      </c>
      <c r="H183" s="159" t="e">
        <f>H184+H198+H200+H211+H231+H240+H265+H275+H278+#REF!</f>
        <v>#REF!</v>
      </c>
      <c r="I183" s="159" t="e">
        <f>I184+I198+I200+I211+I231+I240+I265+I275+I278+#REF!</f>
        <v>#REF!</v>
      </c>
      <c r="J183" s="159" t="e">
        <f>J184+J198+J200+J211+J231+J240+J265+J275+J278+#REF!</f>
        <v>#REF!</v>
      </c>
      <c r="K183" s="159">
        <f>K184+K198+K200+K211+K231+K240+K265+K275+K278+K286</f>
        <v>10477948</v>
      </c>
      <c r="L183" s="159">
        <f>L184+L198+L200+L211+L231+L240+L265+L275+L278+L286</f>
        <v>18908</v>
      </c>
      <c r="M183" s="159">
        <f>M184+M198+M200+M211+M231+M240+M265+M275+M278+M286</f>
        <v>18908</v>
      </c>
      <c r="N183" s="159">
        <f t="shared" si="29"/>
        <v>10477948</v>
      </c>
      <c r="O183" s="159">
        <f>O184+O198+O200+O211+O231+O240+O265+O275+O278</f>
        <v>0</v>
      </c>
      <c r="P183" s="159">
        <f>P184+P198+P200+P211+P231+P240+P265+P275+P278+P286</f>
        <v>10465948</v>
      </c>
      <c r="Q183" s="159">
        <f>Q184+Q198+Q200+Q211+Q231+Q240+Q265+Q275+Q278</f>
        <v>12000</v>
      </c>
    </row>
    <row r="184" spans="1:17" s="168" customFormat="1" ht="16.5" customHeight="1">
      <c r="A184" s="181" t="s">
        <v>399</v>
      </c>
      <c r="B184" s="192"/>
      <c r="C184" s="182" t="s">
        <v>400</v>
      </c>
      <c r="D184" s="154" t="e">
        <f>D186+D187+D188+#REF!</f>
        <v>#REF!</v>
      </c>
      <c r="E184" s="154" t="e">
        <f>E186+E187+E188+E189+E185+E191+#REF!+E192+#REF!+E194+E195+E196</f>
        <v>#REF!</v>
      </c>
      <c r="F184" s="154" t="e">
        <f>F186+F187+F188+F189+F185+F191+#REF!+F192+#REF!+F194+F195+F196</f>
        <v>#REF!</v>
      </c>
      <c r="G184" s="154" t="e">
        <f>G186+G187+G188+G189+G185+G191+#REF!+G192+#REF!+G194+G195+G196</f>
        <v>#REF!</v>
      </c>
      <c r="H184" s="154" t="e">
        <f>H186+H187+H188+H189+H191+H192+H194+H195+H196+H197+#REF!</f>
        <v>#REF!</v>
      </c>
      <c r="I184" s="154" t="e">
        <f>I186+I187+I188+I189+I191+I192+I194+I195+I196+I197+#REF!</f>
        <v>#REF!</v>
      </c>
      <c r="J184" s="154" t="e">
        <f>J186+J187+J188+J189+J191+J192+J194+J195+J196+J197+#REF!</f>
        <v>#REF!</v>
      </c>
      <c r="K184" s="154">
        <f>K186+K187+K188+K189+K190+K191+K192+K193+K194+K195+K196+K197+K185</f>
        <v>904885</v>
      </c>
      <c r="L184" s="154">
        <f>L186+L187+L188+L189+L190+L191+L192+L193+L194+L195+L196+L197+L185</f>
        <v>0</v>
      </c>
      <c r="M184" s="154">
        <f>M186+M187+M188+M189+M190+M191+M192+M193+M194+M195+M196+M197+M185</f>
        <v>0</v>
      </c>
      <c r="N184" s="418">
        <f t="shared" si="29"/>
        <v>904885</v>
      </c>
      <c r="O184" s="154">
        <f>O186+O187+O188+O189+O190+O191+O192+O193+O194+O195+O196+O197+O185</f>
        <v>0</v>
      </c>
      <c r="P184" s="154">
        <f>P186+P187+P188+P189+P190+P191+P192+P193+P194+P195+P196+P197+P185</f>
        <v>904885</v>
      </c>
      <c r="Q184" s="154">
        <f>Q186+Q187+Q188+Q189+Q190+Q191+Q192+Q193+Q194+Q195+Q196+Q197+Q185</f>
        <v>0</v>
      </c>
    </row>
    <row r="185" spans="1:17" s="168" customFormat="1" ht="18" customHeight="1">
      <c r="A185" s="13"/>
      <c r="B185" s="21" t="s">
        <v>220</v>
      </c>
      <c r="C185" s="282" t="s">
        <v>16</v>
      </c>
      <c r="D185" s="7"/>
      <c r="E185" s="7">
        <v>1974</v>
      </c>
      <c r="F185" s="7">
        <v>0</v>
      </c>
      <c r="G185" s="7">
        <v>0</v>
      </c>
      <c r="H185" s="7"/>
      <c r="I185" s="7"/>
      <c r="J185" s="7"/>
      <c r="K185" s="7">
        <v>0</v>
      </c>
      <c r="L185" s="7"/>
      <c r="M185" s="7"/>
      <c r="N185" s="7">
        <f t="shared" si="29"/>
        <v>0</v>
      </c>
      <c r="O185" s="7">
        <v>0</v>
      </c>
      <c r="P185" s="20">
        <f>N185</f>
        <v>0</v>
      </c>
      <c r="Q185" s="20">
        <v>0</v>
      </c>
    </row>
    <row r="186" spans="1:17" s="168" customFormat="1" ht="16.5" customHeight="1">
      <c r="A186" s="13"/>
      <c r="B186" s="14" t="s">
        <v>237</v>
      </c>
      <c r="C186" s="282" t="s">
        <v>238</v>
      </c>
      <c r="D186" s="7">
        <v>866965</v>
      </c>
      <c r="E186" s="7">
        <v>823342</v>
      </c>
      <c r="F186" s="7">
        <v>45000</v>
      </c>
      <c r="G186" s="7">
        <v>24814</v>
      </c>
      <c r="H186" s="7">
        <v>355622</v>
      </c>
      <c r="I186" s="7">
        <v>0</v>
      </c>
      <c r="J186" s="7">
        <v>0</v>
      </c>
      <c r="K186" s="7">
        <v>463273</v>
      </c>
      <c r="L186" s="7">
        <v>0</v>
      </c>
      <c r="M186" s="7"/>
      <c r="N186" s="7">
        <f t="shared" si="29"/>
        <v>463273</v>
      </c>
      <c r="O186" s="7">
        <v>0</v>
      </c>
      <c r="P186" s="20">
        <f aca="true" t="shared" si="33" ref="P186:P197">N186</f>
        <v>463273</v>
      </c>
      <c r="Q186" s="20">
        <v>0</v>
      </c>
    </row>
    <row r="187" spans="1:17" s="168" customFormat="1" ht="15.75" customHeight="1">
      <c r="A187" s="13"/>
      <c r="B187" s="14" t="s">
        <v>241</v>
      </c>
      <c r="C187" s="282" t="s">
        <v>242</v>
      </c>
      <c r="D187" s="7">
        <v>75166</v>
      </c>
      <c r="E187" s="7">
        <v>81513</v>
      </c>
      <c r="F187" s="7">
        <v>0</v>
      </c>
      <c r="G187" s="7">
        <v>0</v>
      </c>
      <c r="H187" s="7">
        <v>40794</v>
      </c>
      <c r="I187" s="7">
        <v>0</v>
      </c>
      <c r="J187" s="7">
        <v>0</v>
      </c>
      <c r="K187" s="7">
        <v>26941</v>
      </c>
      <c r="L187" s="7"/>
      <c r="M187" s="7">
        <v>0</v>
      </c>
      <c r="N187" s="7">
        <f t="shared" si="29"/>
        <v>26941</v>
      </c>
      <c r="O187" s="7">
        <v>0</v>
      </c>
      <c r="P187" s="20">
        <f t="shared" si="33"/>
        <v>26941</v>
      </c>
      <c r="Q187" s="20">
        <v>0</v>
      </c>
    </row>
    <row r="188" spans="1:17" s="168" customFormat="1" ht="15" customHeight="1">
      <c r="A188" s="13"/>
      <c r="B188" s="21" t="s">
        <v>299</v>
      </c>
      <c r="C188" s="282" t="s">
        <v>271</v>
      </c>
      <c r="D188" s="7">
        <v>205528</v>
      </c>
      <c r="E188" s="7">
        <v>158209</v>
      </c>
      <c r="F188" s="7">
        <v>8046</v>
      </c>
      <c r="G188" s="7">
        <v>4948</v>
      </c>
      <c r="H188" s="7">
        <v>70500</v>
      </c>
      <c r="I188" s="7">
        <v>0</v>
      </c>
      <c r="J188" s="7">
        <v>0</v>
      </c>
      <c r="K188" s="7">
        <v>88900</v>
      </c>
      <c r="L188" s="7"/>
      <c r="M188" s="7"/>
      <c r="N188" s="7">
        <f t="shared" si="29"/>
        <v>88900</v>
      </c>
      <c r="O188" s="7">
        <v>0</v>
      </c>
      <c r="P188" s="20">
        <f t="shared" si="33"/>
        <v>88900</v>
      </c>
      <c r="Q188" s="20">
        <v>0</v>
      </c>
    </row>
    <row r="189" spans="1:17" s="168" customFormat="1" ht="15" customHeight="1">
      <c r="A189" s="13"/>
      <c r="B189" s="21" t="s">
        <v>245</v>
      </c>
      <c r="C189" s="282" t="s">
        <v>246</v>
      </c>
      <c r="D189" s="7"/>
      <c r="E189" s="7">
        <v>21676</v>
      </c>
      <c r="F189" s="7">
        <v>1102</v>
      </c>
      <c r="G189" s="7">
        <v>680</v>
      </c>
      <c r="H189" s="7">
        <v>9660</v>
      </c>
      <c r="I189" s="7">
        <v>0</v>
      </c>
      <c r="J189" s="7">
        <v>0</v>
      </c>
      <c r="K189" s="7">
        <v>12000</v>
      </c>
      <c r="L189" s="7"/>
      <c r="M189" s="7"/>
      <c r="N189" s="7">
        <f t="shared" si="29"/>
        <v>12000</v>
      </c>
      <c r="O189" s="7">
        <v>0</v>
      </c>
      <c r="P189" s="20">
        <f t="shared" si="33"/>
        <v>12000</v>
      </c>
      <c r="Q189" s="20">
        <v>0</v>
      </c>
    </row>
    <row r="190" spans="1:17" s="168" customFormat="1" ht="15" customHeight="1">
      <c r="A190" s="13"/>
      <c r="B190" s="21" t="s">
        <v>92</v>
      </c>
      <c r="C190" s="282" t="s">
        <v>106</v>
      </c>
      <c r="D190" s="7"/>
      <c r="E190" s="7"/>
      <c r="F190" s="7"/>
      <c r="G190" s="7"/>
      <c r="H190" s="7"/>
      <c r="I190" s="7"/>
      <c r="J190" s="7"/>
      <c r="K190" s="7">
        <v>2000</v>
      </c>
      <c r="L190" s="7"/>
      <c r="M190" s="7"/>
      <c r="N190" s="7">
        <f t="shared" si="29"/>
        <v>2000</v>
      </c>
      <c r="O190" s="7">
        <v>0</v>
      </c>
      <c r="P190" s="20">
        <f t="shared" si="33"/>
        <v>2000</v>
      </c>
      <c r="Q190" s="20"/>
    </row>
    <row r="191" spans="1:17" s="168" customFormat="1" ht="16.5" customHeight="1">
      <c r="A191" s="13"/>
      <c r="B191" s="21" t="s">
        <v>247</v>
      </c>
      <c r="C191" s="282" t="s">
        <v>406</v>
      </c>
      <c r="D191" s="7"/>
      <c r="E191" s="7">
        <v>35892</v>
      </c>
      <c r="F191" s="7">
        <v>2000</v>
      </c>
      <c r="G191" s="7">
        <v>0</v>
      </c>
      <c r="H191" s="7">
        <v>22000</v>
      </c>
      <c r="I191" s="7">
        <v>0</v>
      </c>
      <c r="J191" s="7">
        <v>0</v>
      </c>
      <c r="K191" s="7">
        <v>43500</v>
      </c>
      <c r="L191" s="7"/>
      <c r="M191" s="7"/>
      <c r="N191" s="7">
        <f t="shared" si="29"/>
        <v>43500</v>
      </c>
      <c r="O191" s="7">
        <v>0</v>
      </c>
      <c r="P191" s="20">
        <f t="shared" si="33"/>
        <v>43500</v>
      </c>
      <c r="Q191" s="20">
        <v>0</v>
      </c>
    </row>
    <row r="192" spans="1:17" s="168" customFormat="1" ht="16.5" customHeight="1">
      <c r="A192" s="13"/>
      <c r="B192" s="21" t="s">
        <v>249</v>
      </c>
      <c r="C192" s="282" t="s">
        <v>368</v>
      </c>
      <c r="D192" s="7"/>
      <c r="E192" s="7">
        <v>12822</v>
      </c>
      <c r="F192" s="7">
        <v>0</v>
      </c>
      <c r="G192" s="7">
        <v>0</v>
      </c>
      <c r="H192" s="7">
        <v>8850</v>
      </c>
      <c r="I192" s="7">
        <v>0</v>
      </c>
      <c r="J192" s="7">
        <v>0</v>
      </c>
      <c r="K192" s="7">
        <v>9135</v>
      </c>
      <c r="L192" s="7"/>
      <c r="M192" s="7"/>
      <c r="N192" s="7">
        <f t="shared" si="29"/>
        <v>9135</v>
      </c>
      <c r="O192" s="7">
        <v>0</v>
      </c>
      <c r="P192" s="20">
        <f t="shared" si="33"/>
        <v>9135</v>
      </c>
      <c r="Q192" s="20">
        <v>0</v>
      </c>
    </row>
    <row r="193" spans="1:17" s="168" customFormat="1" ht="16.5" customHeight="1">
      <c r="A193" s="13"/>
      <c r="B193" s="21" t="s">
        <v>251</v>
      </c>
      <c r="C193" s="282" t="s">
        <v>252</v>
      </c>
      <c r="D193" s="7"/>
      <c r="E193" s="7"/>
      <c r="F193" s="7"/>
      <c r="G193" s="7"/>
      <c r="H193" s="7"/>
      <c r="I193" s="7"/>
      <c r="J193" s="7"/>
      <c r="K193" s="7">
        <v>0</v>
      </c>
      <c r="L193" s="7"/>
      <c r="M193" s="7"/>
      <c r="N193" s="7">
        <f t="shared" si="29"/>
        <v>0</v>
      </c>
      <c r="O193" s="7">
        <v>0</v>
      </c>
      <c r="P193" s="20">
        <f t="shared" si="33"/>
        <v>0</v>
      </c>
      <c r="Q193" s="20">
        <v>0</v>
      </c>
    </row>
    <row r="194" spans="1:17" s="168" customFormat="1" ht="16.5" customHeight="1">
      <c r="A194" s="13"/>
      <c r="B194" s="21" t="s">
        <v>253</v>
      </c>
      <c r="C194" s="282" t="s">
        <v>370</v>
      </c>
      <c r="D194" s="7"/>
      <c r="E194" s="7">
        <v>9517</v>
      </c>
      <c r="F194" s="7">
        <v>0</v>
      </c>
      <c r="G194" s="7">
        <v>0</v>
      </c>
      <c r="H194" s="7">
        <v>5400</v>
      </c>
      <c r="I194" s="7">
        <v>0</v>
      </c>
      <c r="J194" s="7">
        <v>0</v>
      </c>
      <c r="K194" s="7">
        <v>16380</v>
      </c>
      <c r="L194" s="7"/>
      <c r="M194" s="7"/>
      <c r="N194" s="7">
        <f t="shared" si="29"/>
        <v>16380</v>
      </c>
      <c r="O194" s="7">
        <v>0</v>
      </c>
      <c r="P194" s="20">
        <f t="shared" si="33"/>
        <v>16380</v>
      </c>
      <c r="Q194" s="20">
        <v>0</v>
      </c>
    </row>
    <row r="195" spans="1:17" s="168" customFormat="1" ht="15" customHeight="1">
      <c r="A195" s="13"/>
      <c r="B195" s="21" t="s">
        <v>255</v>
      </c>
      <c r="C195" s="282" t="s">
        <v>256</v>
      </c>
      <c r="D195" s="7"/>
      <c r="E195" s="7">
        <v>229</v>
      </c>
      <c r="F195" s="7">
        <v>800</v>
      </c>
      <c r="G195" s="7">
        <v>0</v>
      </c>
      <c r="H195" s="7">
        <v>200</v>
      </c>
      <c r="I195" s="7">
        <v>0</v>
      </c>
      <c r="J195" s="7">
        <v>0</v>
      </c>
      <c r="K195" s="7">
        <v>1200</v>
      </c>
      <c r="L195" s="7"/>
      <c r="M195" s="7"/>
      <c r="N195" s="7">
        <f t="shared" si="29"/>
        <v>1200</v>
      </c>
      <c r="O195" s="7">
        <v>0</v>
      </c>
      <c r="P195" s="20">
        <f t="shared" si="33"/>
        <v>1200</v>
      </c>
      <c r="Q195" s="20">
        <v>0</v>
      </c>
    </row>
    <row r="196" spans="1:17" s="168" customFormat="1" ht="17.25" customHeight="1">
      <c r="A196" s="13"/>
      <c r="B196" s="21" t="s">
        <v>259</v>
      </c>
      <c r="C196" s="282" t="s">
        <v>260</v>
      </c>
      <c r="D196" s="7"/>
      <c r="E196" s="7">
        <v>60464</v>
      </c>
      <c r="F196" s="7">
        <v>0</v>
      </c>
      <c r="G196" s="7">
        <v>0</v>
      </c>
      <c r="H196" s="7">
        <v>17534</v>
      </c>
      <c r="I196" s="7">
        <v>0</v>
      </c>
      <c r="J196" s="7">
        <v>0</v>
      </c>
      <c r="K196" s="7">
        <v>29453</v>
      </c>
      <c r="L196" s="7"/>
      <c r="M196" s="7"/>
      <c r="N196" s="7">
        <f t="shared" si="29"/>
        <v>29453</v>
      </c>
      <c r="O196" s="7">
        <v>0</v>
      </c>
      <c r="P196" s="20">
        <f t="shared" si="33"/>
        <v>29453</v>
      </c>
      <c r="Q196" s="20">
        <v>0</v>
      </c>
    </row>
    <row r="197" spans="1:17" s="168" customFormat="1" ht="21.75" customHeight="1">
      <c r="A197" s="13"/>
      <c r="B197" s="14" t="s">
        <v>410</v>
      </c>
      <c r="C197" s="119" t="s">
        <v>560</v>
      </c>
      <c r="D197" s="7"/>
      <c r="E197" s="7"/>
      <c r="F197" s="7"/>
      <c r="G197" s="7"/>
      <c r="H197" s="7">
        <v>181417</v>
      </c>
      <c r="I197" s="7">
        <v>0</v>
      </c>
      <c r="J197" s="7">
        <v>0</v>
      </c>
      <c r="K197" s="7">
        <v>212103</v>
      </c>
      <c r="L197" s="7"/>
      <c r="M197" s="7">
        <v>0</v>
      </c>
      <c r="N197" s="7">
        <f t="shared" si="29"/>
        <v>212103</v>
      </c>
      <c r="O197" s="7">
        <v>0</v>
      </c>
      <c r="P197" s="20">
        <f t="shared" si="33"/>
        <v>212103</v>
      </c>
      <c r="Q197" s="20">
        <v>0</v>
      </c>
    </row>
    <row r="198" spans="1:17" s="168" customFormat="1" ht="18.75" customHeight="1">
      <c r="A198" s="181" t="s">
        <v>559</v>
      </c>
      <c r="B198" s="192"/>
      <c r="C198" s="182" t="s">
        <v>558</v>
      </c>
      <c r="D198" s="154"/>
      <c r="E198" s="154"/>
      <c r="F198" s="154"/>
      <c r="G198" s="154"/>
      <c r="H198" s="154">
        <f aca="true" t="shared" si="34" ref="H198:Q198">H199</f>
        <v>65981</v>
      </c>
      <c r="I198" s="154">
        <f t="shared" si="34"/>
        <v>0</v>
      </c>
      <c r="J198" s="154">
        <f t="shared" si="34"/>
        <v>0</v>
      </c>
      <c r="K198" s="154">
        <f>K199</f>
        <v>111982</v>
      </c>
      <c r="L198" s="154">
        <f>L199</f>
        <v>0</v>
      </c>
      <c r="M198" s="154">
        <f>M199</f>
        <v>0</v>
      </c>
      <c r="N198" s="418">
        <f t="shared" si="29"/>
        <v>111982</v>
      </c>
      <c r="O198" s="154">
        <f t="shared" si="34"/>
        <v>0</v>
      </c>
      <c r="P198" s="154">
        <f t="shared" si="34"/>
        <v>111982</v>
      </c>
      <c r="Q198" s="154">
        <f t="shared" si="34"/>
        <v>0</v>
      </c>
    </row>
    <row r="199" spans="1:17" s="168" customFormat="1" ht="21" customHeight="1">
      <c r="A199" s="13"/>
      <c r="B199" s="14" t="s">
        <v>410</v>
      </c>
      <c r="C199" s="119" t="s">
        <v>560</v>
      </c>
      <c r="D199" s="7"/>
      <c r="E199" s="7"/>
      <c r="F199" s="7"/>
      <c r="G199" s="7"/>
      <c r="H199" s="7">
        <v>65981</v>
      </c>
      <c r="I199" s="7">
        <v>0</v>
      </c>
      <c r="J199" s="7">
        <v>0</v>
      </c>
      <c r="K199" s="7">
        <v>111982</v>
      </c>
      <c r="L199" s="7"/>
      <c r="M199" s="7"/>
      <c r="N199" s="7">
        <f t="shared" si="29"/>
        <v>111982</v>
      </c>
      <c r="O199" s="7">
        <v>0</v>
      </c>
      <c r="P199" s="20">
        <f>N199</f>
        <v>111982</v>
      </c>
      <c r="Q199" s="20">
        <v>0</v>
      </c>
    </row>
    <row r="200" spans="1:17" s="168" customFormat="1" ht="18.75" customHeight="1">
      <c r="A200" s="181" t="s">
        <v>411</v>
      </c>
      <c r="B200" s="192"/>
      <c r="C200" s="182" t="s">
        <v>413</v>
      </c>
      <c r="D200" s="154" t="e">
        <f>D201+D202+D203+#REF!</f>
        <v>#REF!</v>
      </c>
      <c r="E200" s="154" t="e">
        <f>E201+E202+E203+E204+#REF!+E205+#REF!+#REF!+E208</f>
        <v>#REF!</v>
      </c>
      <c r="F200" s="154" t="e">
        <f>F201+F202+F203+F204+#REF!+F205+#REF!+#REF!+F208</f>
        <v>#REF!</v>
      </c>
      <c r="G200" s="154" t="e">
        <f>G201+G202+G203+G204+#REF!+G205+#REF!+#REF!+G208</f>
        <v>#REF!</v>
      </c>
      <c r="H200" s="154">
        <f>H201+H202+H203+H204+H205+H208+H210+H207</f>
        <v>416271</v>
      </c>
      <c r="I200" s="154">
        <f>I201+I202+I203+I204+I205+I208+I210+I207</f>
        <v>0</v>
      </c>
      <c r="J200" s="154">
        <f>J201+J202+J203+J204+J205+J208+J210+J207</f>
        <v>0</v>
      </c>
      <c r="K200" s="154">
        <f>K201+K202+K203+K204+K205+K208+K210+K207+K206+K209</f>
        <v>923348</v>
      </c>
      <c r="L200" s="154">
        <f>L201+L202+L203+L204+L205+L208+L210+L207+L206+L209</f>
        <v>0</v>
      </c>
      <c r="M200" s="154">
        <f>M201+M202+M203+M204+M205+M208+M210+M207+M206+M209</f>
        <v>0</v>
      </c>
      <c r="N200" s="154">
        <f t="shared" si="29"/>
        <v>923348</v>
      </c>
      <c r="O200" s="154">
        <f>O201+O202+O203+O204+O205+O208+O210+O207+O206</f>
        <v>0</v>
      </c>
      <c r="P200" s="154">
        <f>P201+P202+P203+P204+P205+P206+P207+P208+P209+P210</f>
        <v>923348</v>
      </c>
      <c r="Q200" s="154">
        <f>Q201+Q202+Q203+Q204+Q205+Q208+Q210+Q207+Q206</f>
        <v>0</v>
      </c>
    </row>
    <row r="201" spans="1:17" s="168" customFormat="1" ht="18" customHeight="1">
      <c r="A201" s="13"/>
      <c r="B201" s="14" t="s">
        <v>237</v>
      </c>
      <c r="C201" s="282" t="s">
        <v>238</v>
      </c>
      <c r="D201" s="7">
        <v>212518</v>
      </c>
      <c r="E201" s="7">
        <v>225071</v>
      </c>
      <c r="F201" s="7">
        <v>24814</v>
      </c>
      <c r="G201" s="7">
        <v>0</v>
      </c>
      <c r="H201" s="7">
        <v>279732</v>
      </c>
      <c r="I201" s="7">
        <v>0</v>
      </c>
      <c r="J201" s="7">
        <v>0</v>
      </c>
      <c r="K201" s="7">
        <v>288843</v>
      </c>
      <c r="L201" s="7">
        <v>0</v>
      </c>
      <c r="M201" s="7"/>
      <c r="N201" s="7">
        <f t="shared" si="29"/>
        <v>288843</v>
      </c>
      <c r="O201" s="7">
        <v>0</v>
      </c>
      <c r="P201" s="20">
        <f>N201</f>
        <v>288843</v>
      </c>
      <c r="Q201" s="20">
        <v>0</v>
      </c>
    </row>
    <row r="202" spans="1:17" s="168" customFormat="1" ht="16.5" customHeight="1">
      <c r="A202" s="13"/>
      <c r="B202" s="14" t="s">
        <v>241</v>
      </c>
      <c r="C202" s="282" t="s">
        <v>242</v>
      </c>
      <c r="D202" s="7">
        <v>4145</v>
      </c>
      <c r="E202" s="7">
        <v>6923</v>
      </c>
      <c r="F202" s="7">
        <v>0</v>
      </c>
      <c r="G202" s="7">
        <v>0</v>
      </c>
      <c r="H202" s="16">
        <v>10410</v>
      </c>
      <c r="I202" s="16">
        <v>0</v>
      </c>
      <c r="J202" s="16">
        <v>0</v>
      </c>
      <c r="K202" s="7">
        <v>18074</v>
      </c>
      <c r="L202" s="7"/>
      <c r="M202" s="16">
        <v>0</v>
      </c>
      <c r="N202" s="7">
        <f t="shared" si="29"/>
        <v>18074</v>
      </c>
      <c r="O202" s="7">
        <v>0</v>
      </c>
      <c r="P202" s="20">
        <f aca="true" t="shared" si="35" ref="P202:P210">N202</f>
        <v>18074</v>
      </c>
      <c r="Q202" s="20">
        <v>0</v>
      </c>
    </row>
    <row r="203" spans="1:17" s="168" customFormat="1" ht="15.75" customHeight="1">
      <c r="A203" s="13"/>
      <c r="B203" s="21" t="s">
        <v>299</v>
      </c>
      <c r="C203" s="282" t="s">
        <v>271</v>
      </c>
      <c r="D203" s="7">
        <v>44040</v>
      </c>
      <c r="E203" s="7">
        <v>40253</v>
      </c>
      <c r="F203" s="7">
        <v>4948</v>
      </c>
      <c r="G203" s="7">
        <v>0</v>
      </c>
      <c r="H203" s="7">
        <v>51300</v>
      </c>
      <c r="I203" s="7">
        <v>0</v>
      </c>
      <c r="J203" s="7">
        <v>0</v>
      </c>
      <c r="K203" s="7">
        <v>55214</v>
      </c>
      <c r="L203" s="7"/>
      <c r="M203" s="7"/>
      <c r="N203" s="7">
        <f t="shared" si="29"/>
        <v>55214</v>
      </c>
      <c r="O203" s="7">
        <v>0</v>
      </c>
      <c r="P203" s="20">
        <f t="shared" si="35"/>
        <v>55214</v>
      </c>
      <c r="Q203" s="20">
        <v>0</v>
      </c>
    </row>
    <row r="204" spans="1:17" s="168" customFormat="1" ht="14.25" customHeight="1">
      <c r="A204" s="13"/>
      <c r="B204" s="21" t="s">
        <v>245</v>
      </c>
      <c r="C204" s="282" t="s">
        <v>246</v>
      </c>
      <c r="D204" s="7"/>
      <c r="E204" s="7">
        <v>5538</v>
      </c>
      <c r="F204" s="7">
        <v>680</v>
      </c>
      <c r="G204" s="7">
        <v>0</v>
      </c>
      <c r="H204" s="7">
        <v>7030</v>
      </c>
      <c r="I204" s="7">
        <v>0</v>
      </c>
      <c r="J204" s="7">
        <v>0</v>
      </c>
      <c r="K204" s="7">
        <v>7520</v>
      </c>
      <c r="L204" s="7"/>
      <c r="M204" s="7"/>
      <c r="N204" s="7">
        <f t="shared" si="29"/>
        <v>7520</v>
      </c>
      <c r="O204" s="7">
        <v>0</v>
      </c>
      <c r="P204" s="20">
        <f t="shared" si="35"/>
        <v>7520</v>
      </c>
      <c r="Q204" s="20">
        <v>0</v>
      </c>
    </row>
    <row r="205" spans="1:17" s="168" customFormat="1" ht="14.25" customHeight="1">
      <c r="A205" s="13"/>
      <c r="B205" s="14" t="s">
        <v>247</v>
      </c>
      <c r="C205" s="236" t="s">
        <v>414</v>
      </c>
      <c r="D205" s="7"/>
      <c r="E205" s="7">
        <v>1700</v>
      </c>
      <c r="F205" s="7">
        <v>0</v>
      </c>
      <c r="G205" s="7">
        <v>0</v>
      </c>
      <c r="H205" s="7">
        <v>300</v>
      </c>
      <c r="I205" s="7">
        <v>0</v>
      </c>
      <c r="J205" s="7">
        <v>0</v>
      </c>
      <c r="K205" s="7">
        <v>57229</v>
      </c>
      <c r="L205" s="7">
        <v>0</v>
      </c>
      <c r="M205" s="7">
        <v>0</v>
      </c>
      <c r="N205" s="7">
        <f t="shared" si="29"/>
        <v>57229</v>
      </c>
      <c r="O205" s="7">
        <v>0</v>
      </c>
      <c r="P205" s="20">
        <f t="shared" si="35"/>
        <v>57229</v>
      </c>
      <c r="Q205" s="20">
        <v>0</v>
      </c>
    </row>
    <row r="206" spans="1:17" s="168" customFormat="1" ht="14.25" customHeight="1">
      <c r="A206" s="13"/>
      <c r="B206" s="14" t="s">
        <v>249</v>
      </c>
      <c r="C206" s="236" t="s">
        <v>368</v>
      </c>
      <c r="D206" s="7"/>
      <c r="E206" s="7"/>
      <c r="F206" s="7"/>
      <c r="G206" s="7"/>
      <c r="H206" s="7"/>
      <c r="I206" s="7"/>
      <c r="J206" s="7"/>
      <c r="K206" s="7">
        <v>2100</v>
      </c>
      <c r="L206" s="7"/>
      <c r="M206" s="7"/>
      <c r="N206" s="7">
        <f t="shared" si="29"/>
        <v>2100</v>
      </c>
      <c r="O206" s="7">
        <v>0</v>
      </c>
      <c r="P206" s="20">
        <f t="shared" si="35"/>
        <v>2100</v>
      </c>
      <c r="Q206" s="20">
        <v>0</v>
      </c>
    </row>
    <row r="207" spans="1:17" s="168" customFormat="1" ht="14.25" customHeight="1">
      <c r="A207" s="13"/>
      <c r="B207" s="14" t="s">
        <v>253</v>
      </c>
      <c r="C207" s="236" t="s">
        <v>370</v>
      </c>
      <c r="D207" s="7"/>
      <c r="E207" s="7"/>
      <c r="F207" s="7"/>
      <c r="G207" s="7"/>
      <c r="H207" s="7">
        <v>1700</v>
      </c>
      <c r="I207" s="7">
        <v>0</v>
      </c>
      <c r="J207" s="7">
        <v>0</v>
      </c>
      <c r="K207" s="7">
        <v>3675</v>
      </c>
      <c r="L207" s="7"/>
      <c r="M207" s="7"/>
      <c r="N207" s="7">
        <f t="shared" si="29"/>
        <v>3675</v>
      </c>
      <c r="O207" s="7">
        <v>0</v>
      </c>
      <c r="P207" s="20">
        <f t="shared" si="35"/>
        <v>3675</v>
      </c>
      <c r="Q207" s="20">
        <v>0</v>
      </c>
    </row>
    <row r="208" spans="1:17" s="168" customFormat="1" ht="18.75" customHeight="1">
      <c r="A208" s="13"/>
      <c r="B208" s="14" t="s">
        <v>259</v>
      </c>
      <c r="C208" s="236" t="s">
        <v>260</v>
      </c>
      <c r="D208" s="7"/>
      <c r="E208" s="7">
        <v>15689</v>
      </c>
      <c r="F208" s="7">
        <v>0</v>
      </c>
      <c r="G208" s="7">
        <v>0</v>
      </c>
      <c r="H208" s="16">
        <v>14740</v>
      </c>
      <c r="I208" s="16">
        <v>0</v>
      </c>
      <c r="J208" s="16">
        <v>0</v>
      </c>
      <c r="K208" s="7">
        <v>14862</v>
      </c>
      <c r="L208" s="7"/>
      <c r="M208" s="16"/>
      <c r="N208" s="7">
        <f t="shared" si="29"/>
        <v>14862</v>
      </c>
      <c r="O208" s="7">
        <v>0</v>
      </c>
      <c r="P208" s="20">
        <f t="shared" si="35"/>
        <v>14862</v>
      </c>
      <c r="Q208" s="20">
        <v>0</v>
      </c>
    </row>
    <row r="209" spans="1:17" s="168" customFormat="1" ht="16.5" customHeight="1">
      <c r="A209" s="13"/>
      <c r="B209" s="14" t="s">
        <v>279</v>
      </c>
      <c r="C209" s="236" t="s">
        <v>163</v>
      </c>
      <c r="D209" s="7"/>
      <c r="E209" s="7"/>
      <c r="F209" s="7"/>
      <c r="G209" s="7"/>
      <c r="H209" s="16"/>
      <c r="I209" s="16"/>
      <c r="J209" s="16"/>
      <c r="K209" s="7">
        <v>236751</v>
      </c>
      <c r="L209" s="7">
        <v>0</v>
      </c>
      <c r="M209" s="16">
        <v>0</v>
      </c>
      <c r="N209" s="7">
        <f t="shared" si="29"/>
        <v>236751</v>
      </c>
      <c r="O209" s="7">
        <v>0</v>
      </c>
      <c r="P209" s="20">
        <f t="shared" si="35"/>
        <v>236751</v>
      </c>
      <c r="Q209" s="20">
        <v>0</v>
      </c>
    </row>
    <row r="210" spans="1:17" s="168" customFormat="1" ht="22.5" customHeight="1">
      <c r="A210" s="13"/>
      <c r="B210" s="14" t="s">
        <v>410</v>
      </c>
      <c r="C210" s="119" t="s">
        <v>185</v>
      </c>
      <c r="D210" s="7"/>
      <c r="E210" s="7"/>
      <c r="F210" s="7"/>
      <c r="G210" s="7"/>
      <c r="H210" s="7">
        <v>51059</v>
      </c>
      <c r="I210" s="7">
        <v>0</v>
      </c>
      <c r="J210" s="7">
        <v>0</v>
      </c>
      <c r="K210" s="7">
        <v>239080</v>
      </c>
      <c r="L210" s="7"/>
      <c r="M210" s="7"/>
      <c r="N210" s="7">
        <f t="shared" si="29"/>
        <v>239080</v>
      </c>
      <c r="O210" s="7">
        <v>0</v>
      </c>
      <c r="P210" s="20">
        <f t="shared" si="35"/>
        <v>239080</v>
      </c>
      <c r="Q210" s="20">
        <v>0</v>
      </c>
    </row>
    <row r="211" spans="1:17" s="168" customFormat="1" ht="16.5" customHeight="1">
      <c r="A211" s="181" t="s">
        <v>415</v>
      </c>
      <c r="B211" s="289"/>
      <c r="C211" s="154" t="s">
        <v>416</v>
      </c>
      <c r="D211" s="154" t="e">
        <f>D213+D214+D215+#REF!+D218+#REF!</f>
        <v>#REF!</v>
      </c>
      <c r="E211" s="154" t="e">
        <f>E213+E214+E215+E216+#REF!+E217+E218+#REF!+E221+#REF!+E222+E224+E225+E226+E228+#REF!</f>
        <v>#REF!</v>
      </c>
      <c r="F211" s="154" t="e">
        <f>F213+F214+F215+F216+#REF!+F217+F218+#REF!+F221+#REF!+F222+F224+F225+F226+F228+#REF!</f>
        <v>#REF!</v>
      </c>
      <c r="G211" s="154" t="e">
        <f>G213+G214+G215+G216+#REF!+G217+G218+#REF!+G221+#REF!+G222+G224+G225+G226+G228+#REF!</f>
        <v>#REF!</v>
      </c>
      <c r="H211" s="154" t="e">
        <f>H213+H214+H215+H216+H212+H217+H218+H220+#REF!+H221+#REF!+H222+H224+H225+H226+H228+H227</f>
        <v>#REF!</v>
      </c>
      <c r="I211" s="154" t="e">
        <f>I213+I214+I215+I216+I212+I217+I218+I220+#REF!+I221+#REF!+I222+I224+I225+I226+I228+I227</f>
        <v>#REF!</v>
      </c>
      <c r="J211" s="154" t="e">
        <f>J213+J214+J215+J216+J212+J217+J218+J220+#REF!+J221+#REF!+J222+J224+J225+J226+J228+J227</f>
        <v>#REF!</v>
      </c>
      <c r="K211" s="154">
        <f>SUM(K212:K228)</f>
        <v>2169829</v>
      </c>
      <c r="L211" s="154">
        <f>SUM(L212:L228)</f>
        <v>18408</v>
      </c>
      <c r="M211" s="154">
        <f>SUM(M212:M228)</f>
        <v>18408</v>
      </c>
      <c r="N211" s="154">
        <f t="shared" si="29"/>
        <v>2169829</v>
      </c>
      <c r="O211" s="154">
        <f>SUM(O212:O228)</f>
        <v>0</v>
      </c>
      <c r="P211" s="154">
        <f>SUM(P212:P228)</f>
        <v>2169829</v>
      </c>
      <c r="Q211" s="154">
        <f>SUM(Q212:Q228)</f>
        <v>0</v>
      </c>
    </row>
    <row r="212" spans="1:17" s="306" customFormat="1" ht="13.5" customHeight="1">
      <c r="A212" s="19"/>
      <c r="B212" s="14" t="s">
        <v>220</v>
      </c>
      <c r="C212" s="403" t="s">
        <v>417</v>
      </c>
      <c r="D212" s="155"/>
      <c r="E212" s="155"/>
      <c r="F212" s="155"/>
      <c r="G212" s="155"/>
      <c r="H212" s="155">
        <v>14208</v>
      </c>
      <c r="I212" s="155">
        <v>0</v>
      </c>
      <c r="J212" s="155">
        <v>0</v>
      </c>
      <c r="K212" s="155">
        <v>9000</v>
      </c>
      <c r="L212" s="155">
        <v>0</v>
      </c>
      <c r="M212" s="155">
        <v>2000</v>
      </c>
      <c r="N212" s="7">
        <f t="shared" si="29"/>
        <v>7000</v>
      </c>
      <c r="O212" s="155">
        <v>0</v>
      </c>
      <c r="P212" s="20">
        <f>N212</f>
        <v>7000</v>
      </c>
      <c r="Q212" s="20">
        <v>0</v>
      </c>
    </row>
    <row r="213" spans="1:17" s="168" customFormat="1" ht="18" customHeight="1">
      <c r="A213" s="19"/>
      <c r="B213" s="14" t="s">
        <v>237</v>
      </c>
      <c r="C213" s="282" t="s">
        <v>238</v>
      </c>
      <c r="D213" s="7">
        <v>1980166</v>
      </c>
      <c r="E213" s="7">
        <v>1975260</v>
      </c>
      <c r="F213" s="7">
        <v>27891</v>
      </c>
      <c r="G213" s="7">
        <v>26283</v>
      </c>
      <c r="H213" s="7">
        <v>1137604</v>
      </c>
      <c r="I213" s="7">
        <v>0</v>
      </c>
      <c r="J213" s="7">
        <v>0</v>
      </c>
      <c r="K213" s="7">
        <v>1304557</v>
      </c>
      <c r="L213" s="7"/>
      <c r="M213" s="7">
        <v>15000</v>
      </c>
      <c r="N213" s="7">
        <f t="shared" si="29"/>
        <v>1289557</v>
      </c>
      <c r="O213" s="7">
        <v>0</v>
      </c>
      <c r="P213" s="20">
        <f aca="true" t="shared" si="36" ref="P213:P230">N213</f>
        <v>1289557</v>
      </c>
      <c r="Q213" s="20">
        <v>0</v>
      </c>
    </row>
    <row r="214" spans="1:17" s="168" customFormat="1" ht="14.25" customHeight="1">
      <c r="A214" s="19"/>
      <c r="B214" s="14" t="s">
        <v>241</v>
      </c>
      <c r="C214" s="282" t="s">
        <v>242</v>
      </c>
      <c r="D214" s="7">
        <v>123848</v>
      </c>
      <c r="E214" s="7">
        <v>159042</v>
      </c>
      <c r="F214" s="7">
        <v>0</v>
      </c>
      <c r="G214" s="7">
        <v>0</v>
      </c>
      <c r="H214" s="7">
        <v>76054</v>
      </c>
      <c r="I214" s="7">
        <v>0</v>
      </c>
      <c r="J214" s="7">
        <v>0</v>
      </c>
      <c r="K214" s="7">
        <v>94071</v>
      </c>
      <c r="L214" s="7"/>
      <c r="M214" s="7">
        <v>0</v>
      </c>
      <c r="N214" s="7">
        <f t="shared" si="29"/>
        <v>94071</v>
      </c>
      <c r="O214" s="7">
        <v>0</v>
      </c>
      <c r="P214" s="20">
        <f t="shared" si="36"/>
        <v>94071</v>
      </c>
      <c r="Q214" s="20">
        <v>0</v>
      </c>
    </row>
    <row r="215" spans="1:17" s="168" customFormat="1" ht="15" customHeight="1">
      <c r="A215" s="19"/>
      <c r="B215" s="21" t="s">
        <v>299</v>
      </c>
      <c r="C215" s="282" t="s">
        <v>313</v>
      </c>
      <c r="D215" s="7">
        <v>414136</v>
      </c>
      <c r="E215" s="7">
        <v>370552</v>
      </c>
      <c r="F215" s="7">
        <v>2840</v>
      </c>
      <c r="G215" s="7">
        <v>2000</v>
      </c>
      <c r="H215" s="7">
        <v>214800</v>
      </c>
      <c r="I215" s="7">
        <v>0</v>
      </c>
      <c r="J215" s="7">
        <v>0</v>
      </c>
      <c r="K215" s="7">
        <v>237305</v>
      </c>
      <c r="L215" s="7">
        <v>0</v>
      </c>
      <c r="M215" s="7"/>
      <c r="N215" s="7">
        <f t="shared" si="29"/>
        <v>237305</v>
      </c>
      <c r="O215" s="7">
        <v>0</v>
      </c>
      <c r="P215" s="20">
        <f t="shared" si="36"/>
        <v>237305</v>
      </c>
      <c r="Q215" s="20">
        <v>0</v>
      </c>
    </row>
    <row r="216" spans="1:17" s="168" customFormat="1" ht="16.5" customHeight="1">
      <c r="A216" s="19"/>
      <c r="B216" s="21" t="s">
        <v>245</v>
      </c>
      <c r="C216" s="282" t="s">
        <v>246</v>
      </c>
      <c r="D216" s="7"/>
      <c r="E216" s="7">
        <v>50795</v>
      </c>
      <c r="F216" s="7">
        <v>390</v>
      </c>
      <c r="G216" s="7">
        <v>165</v>
      </c>
      <c r="H216" s="7">
        <v>29560</v>
      </c>
      <c r="I216" s="7">
        <v>0</v>
      </c>
      <c r="J216" s="7">
        <v>0</v>
      </c>
      <c r="K216" s="7">
        <v>32439</v>
      </c>
      <c r="L216" s="7">
        <v>0</v>
      </c>
      <c r="M216" s="7"/>
      <c r="N216" s="7">
        <f t="shared" si="29"/>
        <v>32439</v>
      </c>
      <c r="O216" s="7">
        <v>0</v>
      </c>
      <c r="P216" s="20">
        <f t="shared" si="36"/>
        <v>32439</v>
      </c>
      <c r="Q216" s="20">
        <v>0</v>
      </c>
    </row>
    <row r="217" spans="1:17" s="168" customFormat="1" ht="15.75" customHeight="1">
      <c r="A217" s="19"/>
      <c r="B217" s="14" t="s">
        <v>418</v>
      </c>
      <c r="C217" s="236" t="s">
        <v>419</v>
      </c>
      <c r="D217" s="7"/>
      <c r="E217" s="7">
        <v>8110</v>
      </c>
      <c r="F217" s="7">
        <v>0</v>
      </c>
      <c r="G217" s="7">
        <v>0</v>
      </c>
      <c r="H217" s="7">
        <v>300</v>
      </c>
      <c r="I217" s="7">
        <v>0</v>
      </c>
      <c r="J217" s="7">
        <v>0</v>
      </c>
      <c r="K217" s="7">
        <v>5700</v>
      </c>
      <c r="L217" s="7"/>
      <c r="M217" s="7">
        <v>1000</v>
      </c>
      <c r="N217" s="7">
        <f t="shared" si="29"/>
        <v>4700</v>
      </c>
      <c r="O217" s="7">
        <v>0</v>
      </c>
      <c r="P217" s="20">
        <f t="shared" si="36"/>
        <v>4700</v>
      </c>
      <c r="Q217" s="20">
        <v>0</v>
      </c>
    </row>
    <row r="218" spans="1:17" s="168" customFormat="1" ht="15" customHeight="1">
      <c r="A218" s="19"/>
      <c r="B218" s="29">
        <v>4210</v>
      </c>
      <c r="C218" s="236" t="s">
        <v>274</v>
      </c>
      <c r="D218" s="7" t="e">
        <f>#REF!+#REF!</f>
        <v>#REF!</v>
      </c>
      <c r="E218" s="16">
        <v>110063</v>
      </c>
      <c r="F218" s="16">
        <v>262</v>
      </c>
      <c r="G218" s="16">
        <v>0</v>
      </c>
      <c r="H218" s="7">
        <v>94500</v>
      </c>
      <c r="I218" s="7">
        <v>0</v>
      </c>
      <c r="J218" s="7">
        <v>0</v>
      </c>
      <c r="K218" s="7">
        <v>83606</v>
      </c>
      <c r="L218" s="7">
        <v>5394</v>
      </c>
      <c r="M218" s="7">
        <v>0</v>
      </c>
      <c r="N218" s="7">
        <f t="shared" si="29"/>
        <v>89000</v>
      </c>
      <c r="O218" s="7">
        <v>0</v>
      </c>
      <c r="P218" s="20">
        <f t="shared" si="36"/>
        <v>89000</v>
      </c>
      <c r="Q218" s="20">
        <v>0</v>
      </c>
    </row>
    <row r="219" spans="1:17" s="168" customFormat="1" ht="15" customHeight="1">
      <c r="A219" s="19"/>
      <c r="B219" s="29">
        <v>4170</v>
      </c>
      <c r="C219" s="236" t="s">
        <v>653</v>
      </c>
      <c r="D219" s="7"/>
      <c r="E219" s="16"/>
      <c r="F219" s="16"/>
      <c r="G219" s="16"/>
      <c r="H219" s="7"/>
      <c r="I219" s="7"/>
      <c r="J219" s="7"/>
      <c r="K219" s="7">
        <v>1000</v>
      </c>
      <c r="L219" s="7"/>
      <c r="M219" s="7"/>
      <c r="N219" s="7">
        <f t="shared" si="29"/>
        <v>1000</v>
      </c>
      <c r="O219" s="7"/>
      <c r="P219" s="20">
        <f t="shared" si="36"/>
        <v>1000</v>
      </c>
      <c r="Q219" s="20"/>
    </row>
    <row r="220" spans="1:17" s="168" customFormat="1" ht="15" customHeight="1">
      <c r="A220" s="19"/>
      <c r="B220" s="29">
        <v>4240</v>
      </c>
      <c r="C220" s="236" t="s">
        <v>408</v>
      </c>
      <c r="D220" s="7"/>
      <c r="E220" s="16"/>
      <c r="F220" s="16"/>
      <c r="G220" s="16"/>
      <c r="H220" s="7">
        <v>3000</v>
      </c>
      <c r="I220" s="7">
        <v>0</v>
      </c>
      <c r="J220" s="7">
        <v>0</v>
      </c>
      <c r="K220" s="7">
        <v>2850</v>
      </c>
      <c r="L220" s="7">
        <v>0</v>
      </c>
      <c r="M220" s="7"/>
      <c r="N220" s="7">
        <f t="shared" si="29"/>
        <v>2850</v>
      </c>
      <c r="O220" s="7">
        <v>0</v>
      </c>
      <c r="P220" s="20">
        <f t="shared" si="36"/>
        <v>2850</v>
      </c>
      <c r="Q220" s="20">
        <v>0</v>
      </c>
    </row>
    <row r="221" spans="1:17" s="168" customFormat="1" ht="15.75" customHeight="1">
      <c r="A221" s="19"/>
      <c r="B221" s="14" t="s">
        <v>249</v>
      </c>
      <c r="C221" s="236" t="s">
        <v>368</v>
      </c>
      <c r="D221" s="7"/>
      <c r="E221" s="7">
        <v>137000</v>
      </c>
      <c r="F221" s="7">
        <v>8000</v>
      </c>
      <c r="G221" s="7">
        <v>0</v>
      </c>
      <c r="H221" s="7">
        <v>38000</v>
      </c>
      <c r="I221" s="7">
        <v>0</v>
      </c>
      <c r="J221" s="7">
        <v>0</v>
      </c>
      <c r="K221" s="7">
        <v>31800</v>
      </c>
      <c r="L221" s="7"/>
      <c r="M221" s="7"/>
      <c r="N221" s="7">
        <f t="shared" si="29"/>
        <v>31800</v>
      </c>
      <c r="O221" s="7">
        <v>0</v>
      </c>
      <c r="P221" s="20">
        <f t="shared" si="36"/>
        <v>31800</v>
      </c>
      <c r="Q221" s="20">
        <v>0</v>
      </c>
    </row>
    <row r="222" spans="1:17" s="168" customFormat="1" ht="16.5" customHeight="1">
      <c r="A222" s="19"/>
      <c r="B222" s="14" t="s">
        <v>253</v>
      </c>
      <c r="C222" s="236" t="s">
        <v>254</v>
      </c>
      <c r="D222" s="7"/>
      <c r="E222" s="7">
        <v>58100</v>
      </c>
      <c r="F222" s="7">
        <v>0</v>
      </c>
      <c r="G222" s="7">
        <v>4500</v>
      </c>
      <c r="H222" s="7">
        <v>30000</v>
      </c>
      <c r="I222" s="7">
        <v>0</v>
      </c>
      <c r="J222" s="7">
        <v>0</v>
      </c>
      <c r="K222" s="7">
        <v>30588</v>
      </c>
      <c r="L222" s="7">
        <v>13014</v>
      </c>
      <c r="M222" s="7"/>
      <c r="N222" s="7">
        <f t="shared" si="29"/>
        <v>43602</v>
      </c>
      <c r="O222" s="7">
        <v>0</v>
      </c>
      <c r="P222" s="20">
        <f t="shared" si="36"/>
        <v>43602</v>
      </c>
      <c r="Q222" s="20">
        <v>0</v>
      </c>
    </row>
    <row r="223" spans="1:17" s="168" customFormat="1" ht="16.5" customHeight="1">
      <c r="A223" s="19"/>
      <c r="B223" s="14" t="s">
        <v>107</v>
      </c>
      <c r="C223" s="236" t="s">
        <v>108</v>
      </c>
      <c r="D223" s="7"/>
      <c r="E223" s="7"/>
      <c r="F223" s="7"/>
      <c r="G223" s="7"/>
      <c r="H223" s="7"/>
      <c r="I223" s="7"/>
      <c r="J223" s="7"/>
      <c r="K223" s="7">
        <v>4200</v>
      </c>
      <c r="L223" s="7"/>
      <c r="M223" s="7">
        <v>400</v>
      </c>
      <c r="N223" s="7">
        <f t="shared" si="29"/>
        <v>3800</v>
      </c>
      <c r="O223" s="7"/>
      <c r="P223" s="20">
        <f t="shared" si="36"/>
        <v>3800</v>
      </c>
      <c r="Q223" s="20"/>
    </row>
    <row r="224" spans="1:17" s="168" customFormat="1" ht="17.25" customHeight="1">
      <c r="A224" s="19"/>
      <c r="B224" s="14" t="s">
        <v>255</v>
      </c>
      <c r="C224" s="236" t="s">
        <v>256</v>
      </c>
      <c r="D224" s="7"/>
      <c r="E224" s="7">
        <v>7500</v>
      </c>
      <c r="F224" s="7">
        <v>1200</v>
      </c>
      <c r="G224" s="7">
        <v>0</v>
      </c>
      <c r="H224" s="7">
        <v>3500</v>
      </c>
      <c r="I224" s="7">
        <v>0</v>
      </c>
      <c r="J224" s="7">
        <v>0</v>
      </c>
      <c r="K224" s="7">
        <v>3900</v>
      </c>
      <c r="L224" s="7"/>
      <c r="M224" s="7"/>
      <c r="N224" s="7">
        <f t="shared" si="29"/>
        <v>3900</v>
      </c>
      <c r="O224" s="7">
        <v>0</v>
      </c>
      <c r="P224" s="20">
        <f t="shared" si="36"/>
        <v>3900</v>
      </c>
      <c r="Q224" s="20">
        <v>0</v>
      </c>
    </row>
    <row r="225" spans="1:17" s="168" customFormat="1" ht="14.25" customHeight="1">
      <c r="A225" s="19"/>
      <c r="B225" s="14" t="s">
        <v>257</v>
      </c>
      <c r="C225" s="236" t="s">
        <v>258</v>
      </c>
      <c r="D225" s="7"/>
      <c r="E225" s="7">
        <v>873</v>
      </c>
      <c r="F225" s="7">
        <v>1000</v>
      </c>
      <c r="G225" s="7">
        <v>0</v>
      </c>
      <c r="H225" s="7">
        <v>2600</v>
      </c>
      <c r="I225" s="7">
        <v>0</v>
      </c>
      <c r="J225" s="7">
        <v>0</v>
      </c>
      <c r="K225" s="7">
        <v>0</v>
      </c>
      <c r="L225" s="7"/>
      <c r="M225" s="7"/>
      <c r="N225" s="7">
        <f t="shared" si="29"/>
        <v>0</v>
      </c>
      <c r="O225" s="7">
        <v>0</v>
      </c>
      <c r="P225" s="20">
        <f t="shared" si="36"/>
        <v>0</v>
      </c>
      <c r="Q225" s="20">
        <v>0</v>
      </c>
    </row>
    <row r="226" spans="1:17" s="168" customFormat="1" ht="15.75" customHeight="1">
      <c r="A226" s="19"/>
      <c r="B226" s="14" t="s">
        <v>259</v>
      </c>
      <c r="C226" s="236" t="s">
        <v>260</v>
      </c>
      <c r="D226" s="7"/>
      <c r="E226" s="7">
        <v>126309</v>
      </c>
      <c r="F226" s="7">
        <v>0</v>
      </c>
      <c r="G226" s="7">
        <v>700</v>
      </c>
      <c r="H226" s="7">
        <v>60789</v>
      </c>
      <c r="I226" s="7">
        <v>0</v>
      </c>
      <c r="J226" s="7">
        <v>0</v>
      </c>
      <c r="K226" s="7">
        <v>68190</v>
      </c>
      <c r="L226" s="7"/>
      <c r="M226" s="7"/>
      <c r="N226" s="7">
        <f t="shared" si="29"/>
        <v>68190</v>
      </c>
      <c r="O226" s="7">
        <v>0</v>
      </c>
      <c r="P226" s="20">
        <f t="shared" si="36"/>
        <v>68190</v>
      </c>
      <c r="Q226" s="20">
        <v>0</v>
      </c>
    </row>
    <row r="227" spans="1:17" s="168" customFormat="1" ht="14.25" customHeight="1">
      <c r="A227" s="19"/>
      <c r="B227" s="14" t="s">
        <v>275</v>
      </c>
      <c r="C227" s="236" t="s">
        <v>276</v>
      </c>
      <c r="D227" s="7"/>
      <c r="E227" s="7"/>
      <c r="F227" s="7"/>
      <c r="G227" s="7"/>
      <c r="H227" s="7">
        <v>1021</v>
      </c>
      <c r="I227" s="7">
        <v>0</v>
      </c>
      <c r="J227" s="7">
        <v>0</v>
      </c>
      <c r="K227" s="7">
        <v>1220</v>
      </c>
      <c r="L227" s="7">
        <v>0</v>
      </c>
      <c r="M227" s="7">
        <v>8</v>
      </c>
      <c r="N227" s="7">
        <f t="shared" si="29"/>
        <v>1212</v>
      </c>
      <c r="O227" s="7">
        <v>0</v>
      </c>
      <c r="P227" s="20">
        <f t="shared" si="36"/>
        <v>1212</v>
      </c>
      <c r="Q227" s="20">
        <v>0</v>
      </c>
    </row>
    <row r="228" spans="1:17" s="168" customFormat="1" ht="15" customHeight="1">
      <c r="A228" s="19"/>
      <c r="B228" s="14" t="s">
        <v>410</v>
      </c>
      <c r="C228" s="119" t="s">
        <v>420</v>
      </c>
      <c r="D228" s="7"/>
      <c r="E228" s="7" t="e">
        <f>E229+#REF!</f>
        <v>#REF!</v>
      </c>
      <c r="F228" s="7" t="e">
        <f>F229+#REF!</f>
        <v>#REF!</v>
      </c>
      <c r="G228" s="7" t="e">
        <f>G229+#REF!</f>
        <v>#REF!</v>
      </c>
      <c r="H228" s="7" t="e">
        <f>H229+#REF!+H230</f>
        <v>#REF!</v>
      </c>
      <c r="I228" s="7">
        <v>0</v>
      </c>
      <c r="J228" s="7">
        <v>0</v>
      </c>
      <c r="K228" s="7">
        <f>K229+K230</f>
        <v>259403</v>
      </c>
      <c r="L228" s="7">
        <f>L229+L230</f>
        <v>0</v>
      </c>
      <c r="M228" s="7">
        <f>M229+M230</f>
        <v>0</v>
      </c>
      <c r="N228" s="7">
        <f t="shared" si="29"/>
        <v>259403</v>
      </c>
      <c r="O228" s="7">
        <v>0</v>
      </c>
      <c r="P228" s="20">
        <f t="shared" si="36"/>
        <v>259403</v>
      </c>
      <c r="Q228" s="20">
        <v>0</v>
      </c>
    </row>
    <row r="229" spans="1:17" s="168" customFormat="1" ht="13.5" customHeight="1">
      <c r="A229" s="19"/>
      <c r="B229" s="14"/>
      <c r="C229" s="236" t="s">
        <v>421</v>
      </c>
      <c r="D229" s="7"/>
      <c r="E229" s="7">
        <v>246759</v>
      </c>
      <c r="F229" s="7">
        <v>0</v>
      </c>
      <c r="G229" s="7">
        <v>72750</v>
      </c>
      <c r="H229" s="7">
        <v>62124</v>
      </c>
      <c r="I229" s="7">
        <v>0</v>
      </c>
      <c r="J229" s="7">
        <v>0</v>
      </c>
      <c r="K229" s="7">
        <v>60742</v>
      </c>
      <c r="L229" s="7">
        <v>0</v>
      </c>
      <c r="M229" s="7"/>
      <c r="N229" s="7">
        <f t="shared" si="29"/>
        <v>60742</v>
      </c>
      <c r="O229" s="7">
        <v>0</v>
      </c>
      <c r="P229" s="20">
        <f t="shared" si="36"/>
        <v>60742</v>
      </c>
      <c r="Q229" s="20">
        <v>0</v>
      </c>
    </row>
    <row r="230" spans="1:17" s="168" customFormat="1" ht="13.5" customHeight="1">
      <c r="A230" s="19"/>
      <c r="B230" s="7"/>
      <c r="C230" s="236" t="s">
        <v>422</v>
      </c>
      <c r="D230" s="7"/>
      <c r="E230" s="7"/>
      <c r="F230" s="7"/>
      <c r="G230" s="7"/>
      <c r="H230" s="7">
        <v>171443</v>
      </c>
      <c r="I230" s="7">
        <v>0</v>
      </c>
      <c r="J230" s="7">
        <v>0</v>
      </c>
      <c r="K230" s="7">
        <v>198661</v>
      </c>
      <c r="L230" s="7">
        <v>0</v>
      </c>
      <c r="M230" s="7"/>
      <c r="N230" s="7">
        <f t="shared" si="29"/>
        <v>198661</v>
      </c>
      <c r="O230" s="7">
        <v>0</v>
      </c>
      <c r="P230" s="20">
        <f t="shared" si="36"/>
        <v>198661</v>
      </c>
      <c r="Q230" s="20">
        <v>0</v>
      </c>
    </row>
    <row r="231" spans="1:17" s="168" customFormat="1" ht="18.75" customHeight="1">
      <c r="A231" s="183" t="s">
        <v>186</v>
      </c>
      <c r="B231" s="154"/>
      <c r="C231" s="154" t="s">
        <v>187</v>
      </c>
      <c r="D231" s="154"/>
      <c r="E231" s="154"/>
      <c r="F231" s="154"/>
      <c r="G231" s="154"/>
      <c r="H231" s="154" t="e">
        <f>H232+H234+H235+H236+H237+H238+H239+#REF!</f>
        <v>#REF!</v>
      </c>
      <c r="I231" s="154" t="e">
        <f>I232+I234+I235+I236+I237+I238+I239+#REF!</f>
        <v>#REF!</v>
      </c>
      <c r="J231" s="154" t="e">
        <f>J232+J234+J235+J236+J237+J238+J239+#REF!</f>
        <v>#REF!</v>
      </c>
      <c r="K231" s="154">
        <f>SUM(K232:K239)</f>
        <v>966176</v>
      </c>
      <c r="L231" s="154">
        <f>SUM(L232:L239)</f>
        <v>0</v>
      </c>
      <c r="M231" s="154">
        <f>SUM(M232:M239)</f>
        <v>0</v>
      </c>
      <c r="N231" s="154">
        <f t="shared" si="29"/>
        <v>966176</v>
      </c>
      <c r="O231" s="154">
        <f>O232+O234+O235+O236+O237+O238+O239+O233</f>
        <v>0</v>
      </c>
      <c r="P231" s="154">
        <f>P232+P234+P235+P236+P237+P238+P239+P233</f>
        <v>966176</v>
      </c>
      <c r="Q231" s="154">
        <f>Q232+Q234+Q235+Q236+Q237+Q238+Q239+Q233</f>
        <v>0</v>
      </c>
    </row>
    <row r="232" spans="1:17" s="168" customFormat="1" ht="13.5" customHeight="1">
      <c r="A232" s="19"/>
      <c r="B232" s="7">
        <v>4010</v>
      </c>
      <c r="C232" s="282" t="s">
        <v>238</v>
      </c>
      <c r="D232" s="7"/>
      <c r="E232" s="7"/>
      <c r="F232" s="7"/>
      <c r="G232" s="7"/>
      <c r="H232" s="7">
        <v>322855</v>
      </c>
      <c r="I232" s="7">
        <v>0</v>
      </c>
      <c r="J232" s="7">
        <v>0</v>
      </c>
      <c r="K232" s="7">
        <v>687005</v>
      </c>
      <c r="L232" s="7">
        <v>0</v>
      </c>
      <c r="M232" s="7"/>
      <c r="N232" s="7">
        <f t="shared" si="29"/>
        <v>687005</v>
      </c>
      <c r="O232" s="7">
        <v>0</v>
      </c>
      <c r="P232" s="20">
        <f>N232</f>
        <v>687005</v>
      </c>
      <c r="Q232" s="20">
        <v>0</v>
      </c>
    </row>
    <row r="233" spans="1:17" s="168" customFormat="1" ht="13.5" customHeight="1">
      <c r="A233" s="19"/>
      <c r="B233" s="7">
        <v>4040</v>
      </c>
      <c r="C233" s="282" t="s">
        <v>242</v>
      </c>
      <c r="D233" s="7"/>
      <c r="E233" s="7"/>
      <c r="F233" s="7"/>
      <c r="G233" s="7"/>
      <c r="H233" s="7"/>
      <c r="I233" s="7"/>
      <c r="J233" s="7"/>
      <c r="K233" s="7">
        <v>54240</v>
      </c>
      <c r="L233" s="7"/>
      <c r="M233" s="7">
        <v>0</v>
      </c>
      <c r="N233" s="7">
        <f t="shared" si="29"/>
        <v>54240</v>
      </c>
      <c r="O233" s="7">
        <v>0</v>
      </c>
      <c r="P233" s="20">
        <f aca="true" t="shared" si="37" ref="P233:P239">N233</f>
        <v>54240</v>
      </c>
      <c r="Q233" s="20">
        <v>0</v>
      </c>
    </row>
    <row r="234" spans="1:17" s="168" customFormat="1" ht="13.5" customHeight="1">
      <c r="A234" s="19"/>
      <c r="B234" s="7">
        <v>4110</v>
      </c>
      <c r="C234" s="282" t="s">
        <v>313</v>
      </c>
      <c r="D234" s="7"/>
      <c r="E234" s="7"/>
      <c r="F234" s="7"/>
      <c r="G234" s="7"/>
      <c r="H234" s="7">
        <v>58061</v>
      </c>
      <c r="I234" s="7">
        <v>0</v>
      </c>
      <c r="J234" s="7">
        <v>0</v>
      </c>
      <c r="K234" s="7">
        <v>130202</v>
      </c>
      <c r="L234" s="7"/>
      <c r="M234" s="7"/>
      <c r="N234" s="7">
        <f t="shared" si="29"/>
        <v>130202</v>
      </c>
      <c r="O234" s="7">
        <v>0</v>
      </c>
      <c r="P234" s="20">
        <f t="shared" si="37"/>
        <v>130202</v>
      </c>
      <c r="Q234" s="20">
        <v>0</v>
      </c>
    </row>
    <row r="235" spans="1:17" s="168" customFormat="1" ht="13.5" customHeight="1">
      <c r="A235" s="19"/>
      <c r="B235" s="7">
        <v>4120</v>
      </c>
      <c r="C235" s="282" t="s">
        <v>246</v>
      </c>
      <c r="D235" s="7"/>
      <c r="E235" s="7"/>
      <c r="F235" s="7"/>
      <c r="G235" s="7"/>
      <c r="H235" s="7">
        <v>7696</v>
      </c>
      <c r="I235" s="7">
        <v>0</v>
      </c>
      <c r="J235" s="7">
        <v>0</v>
      </c>
      <c r="K235" s="7">
        <v>17732</v>
      </c>
      <c r="L235" s="7"/>
      <c r="M235" s="7"/>
      <c r="N235" s="7">
        <f aca="true" t="shared" si="38" ref="N235:N264">K235+L235-M235</f>
        <v>17732</v>
      </c>
      <c r="O235" s="7">
        <v>0</v>
      </c>
      <c r="P235" s="20">
        <f t="shared" si="37"/>
        <v>17732</v>
      </c>
      <c r="Q235" s="20">
        <v>0</v>
      </c>
    </row>
    <row r="236" spans="1:17" s="168" customFormat="1" ht="13.5" customHeight="1">
      <c r="A236" s="19"/>
      <c r="B236" s="7">
        <v>4210</v>
      </c>
      <c r="C236" s="236" t="s">
        <v>274</v>
      </c>
      <c r="D236" s="7"/>
      <c r="E236" s="7"/>
      <c r="F236" s="7"/>
      <c r="G236" s="7"/>
      <c r="H236" s="7">
        <v>44979</v>
      </c>
      <c r="I236" s="7">
        <v>0</v>
      </c>
      <c r="J236" s="7">
        <v>0</v>
      </c>
      <c r="K236" s="7">
        <v>2040</v>
      </c>
      <c r="L236" s="7"/>
      <c r="M236" s="7"/>
      <c r="N236" s="7">
        <f t="shared" si="38"/>
        <v>2040</v>
      </c>
      <c r="O236" s="7">
        <v>0</v>
      </c>
      <c r="P236" s="20">
        <f t="shared" si="37"/>
        <v>2040</v>
      </c>
      <c r="Q236" s="20">
        <v>0</v>
      </c>
    </row>
    <row r="237" spans="1:17" s="168" customFormat="1" ht="13.5" customHeight="1">
      <c r="A237" s="19"/>
      <c r="B237" s="7">
        <v>4260</v>
      </c>
      <c r="C237" s="236" t="s">
        <v>368</v>
      </c>
      <c r="D237" s="7"/>
      <c r="E237" s="7"/>
      <c r="F237" s="7"/>
      <c r="G237" s="7"/>
      <c r="H237" s="7">
        <v>12000</v>
      </c>
      <c r="I237" s="7">
        <v>0</v>
      </c>
      <c r="J237" s="7">
        <v>0</v>
      </c>
      <c r="K237" s="7">
        <v>17200</v>
      </c>
      <c r="L237" s="7"/>
      <c r="M237" s="7"/>
      <c r="N237" s="7">
        <f t="shared" si="38"/>
        <v>17200</v>
      </c>
      <c r="O237" s="7">
        <v>0</v>
      </c>
      <c r="P237" s="20">
        <f t="shared" si="37"/>
        <v>17200</v>
      </c>
      <c r="Q237" s="20">
        <v>0</v>
      </c>
    </row>
    <row r="238" spans="1:17" s="168" customFormat="1" ht="13.5" customHeight="1">
      <c r="A238" s="19"/>
      <c r="B238" s="7">
        <v>4300</v>
      </c>
      <c r="C238" s="236" t="s">
        <v>254</v>
      </c>
      <c r="D238" s="7"/>
      <c r="E238" s="7"/>
      <c r="F238" s="7"/>
      <c r="G238" s="7"/>
      <c r="H238" s="7">
        <v>4664</v>
      </c>
      <c r="I238" s="7">
        <v>0</v>
      </c>
      <c r="J238" s="7">
        <v>0</v>
      </c>
      <c r="K238" s="7">
        <v>10600</v>
      </c>
      <c r="L238" s="7"/>
      <c r="M238" s="7"/>
      <c r="N238" s="7">
        <f t="shared" si="38"/>
        <v>10600</v>
      </c>
      <c r="O238" s="7">
        <v>0</v>
      </c>
      <c r="P238" s="20">
        <f t="shared" si="37"/>
        <v>10600</v>
      </c>
      <c r="Q238" s="20">
        <v>0</v>
      </c>
    </row>
    <row r="239" spans="1:17" s="168" customFormat="1" ht="13.5" customHeight="1">
      <c r="A239" s="19"/>
      <c r="B239" s="7">
        <v>4440</v>
      </c>
      <c r="C239" s="236" t="s">
        <v>260</v>
      </c>
      <c r="D239" s="7"/>
      <c r="E239" s="7"/>
      <c r="F239" s="7"/>
      <c r="G239" s="7"/>
      <c r="H239" s="7">
        <v>15378</v>
      </c>
      <c r="I239" s="7">
        <v>0</v>
      </c>
      <c r="J239" s="7">
        <v>0</v>
      </c>
      <c r="K239" s="7">
        <v>47157</v>
      </c>
      <c r="L239" s="7"/>
      <c r="M239" s="7"/>
      <c r="N239" s="7">
        <f t="shared" si="38"/>
        <v>47157</v>
      </c>
      <c r="O239" s="7">
        <v>0</v>
      </c>
      <c r="P239" s="20">
        <f t="shared" si="37"/>
        <v>47157</v>
      </c>
      <c r="Q239" s="20">
        <v>0</v>
      </c>
    </row>
    <row r="240" spans="1:17" s="168" customFormat="1" ht="18.75" customHeight="1">
      <c r="A240" s="183" t="s">
        <v>424</v>
      </c>
      <c r="B240" s="192"/>
      <c r="C240" s="154" t="s">
        <v>425</v>
      </c>
      <c r="D240" s="154">
        <f>D242+D243+D244+D241</f>
        <v>1881934</v>
      </c>
      <c r="E240" s="154" t="e">
        <f>E242+E243+E244+E245+#REF!+E241+E248+E249+E250+E251+E253+E255+E257+E258+E262+E261</f>
        <v>#REF!</v>
      </c>
      <c r="F240" s="154" t="e">
        <f>F242+F243+F244+F245+#REF!+F241+F248+F249+F250+F251+F253+F255+F257+F258+F262+F261</f>
        <v>#REF!</v>
      </c>
      <c r="G240" s="154" t="e">
        <f>G242+G243+G244+G245+#REF!+G241+G248+G249+G250+G251+G253+G255+G257+G258+G262+G261</f>
        <v>#REF!</v>
      </c>
      <c r="H240" s="154" t="e">
        <f>H242+H243+H244+H245+#REF!+H241+H248+H249+H250+H251+H253+H255+H257+H258+H262+H261+H246+H259+#REF!+#REF!</f>
        <v>#REF!</v>
      </c>
      <c r="I240" s="154" t="e">
        <f>I242+I243+I244+I245+#REF!+I241+I248+I249+I250+I251+I253+I255+I257+I258+I262+I261+I246+I259+#REF!+#REF!</f>
        <v>#REF!</v>
      </c>
      <c r="J240" s="154" t="e">
        <f>J242+J243+J244+J245+#REF!+J241+J248+J249+J250+J251+J253+J255+J257+J258+J262+J261+J246+J259+#REF!+#REF!</f>
        <v>#REF!</v>
      </c>
      <c r="K240" s="154">
        <f>SUM(K241:K262)</f>
        <v>4576577</v>
      </c>
      <c r="L240" s="154">
        <f>SUM(L241:L262)</f>
        <v>0</v>
      </c>
      <c r="M240" s="154">
        <f>SUM(M241:M262)</f>
        <v>0</v>
      </c>
      <c r="N240" s="154">
        <f t="shared" si="38"/>
        <v>4576577</v>
      </c>
      <c r="O240" s="154">
        <f>SUM(O241:O262)</f>
        <v>0</v>
      </c>
      <c r="P240" s="154">
        <f>SUM(P241:P262)</f>
        <v>4576577</v>
      </c>
      <c r="Q240" s="154">
        <f>Q242+Q243+Q244+Q245+Q241+Q247+Q248+Q249+Q250+Q251+Q253+Q254+Q255+Q256+Q257+Q258+Q260+Q262+Q261+Q246+Q259</f>
        <v>0</v>
      </c>
    </row>
    <row r="241" spans="1:17" s="168" customFormat="1" ht="14.25" customHeight="1">
      <c r="A241" s="19"/>
      <c r="B241" s="14" t="s">
        <v>220</v>
      </c>
      <c r="C241" s="282" t="s">
        <v>426</v>
      </c>
      <c r="D241" s="7">
        <v>262062</v>
      </c>
      <c r="E241" s="7">
        <v>7439</v>
      </c>
      <c r="F241" s="7">
        <v>0</v>
      </c>
      <c r="G241" s="7">
        <v>0</v>
      </c>
      <c r="H241" s="7">
        <v>4872</v>
      </c>
      <c r="I241" s="7">
        <v>0</v>
      </c>
      <c r="J241" s="7">
        <v>0</v>
      </c>
      <c r="K241" s="7">
        <v>2710</v>
      </c>
      <c r="L241" s="7">
        <v>0</v>
      </c>
      <c r="M241" s="7"/>
      <c r="N241" s="7">
        <f t="shared" si="38"/>
        <v>2710</v>
      </c>
      <c r="O241" s="7">
        <v>0</v>
      </c>
      <c r="P241" s="20">
        <f>N241</f>
        <v>2710</v>
      </c>
      <c r="Q241" s="20">
        <v>0</v>
      </c>
    </row>
    <row r="242" spans="1:17" s="168" customFormat="1" ht="14.25" customHeight="1">
      <c r="A242" s="19"/>
      <c r="B242" s="14" t="s">
        <v>237</v>
      </c>
      <c r="C242" s="282" t="s">
        <v>238</v>
      </c>
      <c r="D242" s="7">
        <v>1306363</v>
      </c>
      <c r="E242" s="7">
        <v>2620120</v>
      </c>
      <c r="F242" s="7">
        <v>76198</v>
      </c>
      <c r="G242" s="7">
        <v>0</v>
      </c>
      <c r="H242" s="7">
        <v>2507234</v>
      </c>
      <c r="I242" s="7">
        <v>0</v>
      </c>
      <c r="J242" s="7">
        <v>0</v>
      </c>
      <c r="K242" s="7">
        <v>2690595</v>
      </c>
      <c r="L242" s="7"/>
      <c r="M242" s="7">
        <v>0</v>
      </c>
      <c r="N242" s="7">
        <f t="shared" si="38"/>
        <v>2690595</v>
      </c>
      <c r="O242" s="7">
        <v>0</v>
      </c>
      <c r="P242" s="20">
        <f aca="true" t="shared" si="39" ref="P242:P264">N242</f>
        <v>2690595</v>
      </c>
      <c r="Q242" s="20">
        <v>0</v>
      </c>
    </row>
    <row r="243" spans="1:17" s="168" customFormat="1" ht="14.25" customHeight="1">
      <c r="A243" s="19"/>
      <c r="B243" s="14" t="s">
        <v>241</v>
      </c>
      <c r="C243" s="282" t="s">
        <v>242</v>
      </c>
      <c r="D243" s="7">
        <v>74072</v>
      </c>
      <c r="E243" s="7">
        <v>90144</v>
      </c>
      <c r="F243" s="7">
        <v>0</v>
      </c>
      <c r="G243" s="7">
        <v>0</v>
      </c>
      <c r="H243" s="7">
        <v>229094</v>
      </c>
      <c r="I243" s="7">
        <v>0</v>
      </c>
      <c r="J243" s="7">
        <v>0</v>
      </c>
      <c r="K243" s="7">
        <v>232928</v>
      </c>
      <c r="L243" s="7">
        <v>0</v>
      </c>
      <c r="M243" s="7"/>
      <c r="N243" s="7">
        <f t="shared" si="38"/>
        <v>232928</v>
      </c>
      <c r="O243" s="7">
        <v>0</v>
      </c>
      <c r="P243" s="20">
        <f t="shared" si="39"/>
        <v>232928</v>
      </c>
      <c r="Q243" s="20">
        <v>0</v>
      </c>
    </row>
    <row r="244" spans="1:17" s="168" customFormat="1" ht="12.75" customHeight="1">
      <c r="A244" s="19"/>
      <c r="B244" s="21" t="s">
        <v>299</v>
      </c>
      <c r="C244" s="282" t="s">
        <v>313</v>
      </c>
      <c r="D244" s="7">
        <v>239437</v>
      </c>
      <c r="E244" s="7">
        <v>480155</v>
      </c>
      <c r="F244" s="7">
        <v>6005</v>
      </c>
      <c r="G244" s="7">
        <v>0</v>
      </c>
      <c r="H244" s="7">
        <v>471989</v>
      </c>
      <c r="I244" s="7">
        <v>0</v>
      </c>
      <c r="J244" s="7">
        <v>0</v>
      </c>
      <c r="K244" s="7">
        <v>510820</v>
      </c>
      <c r="L244" s="7"/>
      <c r="M244" s="7"/>
      <c r="N244" s="7">
        <f t="shared" si="38"/>
        <v>510820</v>
      </c>
      <c r="O244" s="7">
        <v>0</v>
      </c>
      <c r="P244" s="20">
        <f t="shared" si="39"/>
        <v>510820</v>
      </c>
      <c r="Q244" s="20">
        <v>0</v>
      </c>
    </row>
    <row r="245" spans="1:17" s="168" customFormat="1" ht="15" customHeight="1">
      <c r="A245" s="19"/>
      <c r="B245" s="21" t="s">
        <v>245</v>
      </c>
      <c r="C245" s="282" t="s">
        <v>246</v>
      </c>
      <c r="D245" s="7"/>
      <c r="E245" s="7">
        <v>62713</v>
      </c>
      <c r="F245" s="7">
        <v>822</v>
      </c>
      <c r="G245" s="7">
        <v>0</v>
      </c>
      <c r="H245" s="7">
        <v>64920</v>
      </c>
      <c r="I245" s="7">
        <v>0</v>
      </c>
      <c r="J245" s="7">
        <v>0</v>
      </c>
      <c r="K245" s="7">
        <v>69612</v>
      </c>
      <c r="L245" s="7"/>
      <c r="M245" s="7"/>
      <c r="N245" s="7">
        <f t="shared" si="38"/>
        <v>69612</v>
      </c>
      <c r="O245" s="7">
        <v>0</v>
      </c>
      <c r="P245" s="20">
        <f t="shared" si="39"/>
        <v>69612</v>
      </c>
      <c r="Q245" s="20">
        <v>0</v>
      </c>
    </row>
    <row r="246" spans="1:17" s="168" customFormat="1" ht="14.25" customHeight="1">
      <c r="A246" s="19"/>
      <c r="B246" s="14" t="s">
        <v>418</v>
      </c>
      <c r="C246" s="282" t="s">
        <v>427</v>
      </c>
      <c r="D246" s="7"/>
      <c r="E246" s="7"/>
      <c r="F246" s="7"/>
      <c r="G246" s="7"/>
      <c r="H246" s="7">
        <v>8642</v>
      </c>
      <c r="I246" s="7">
        <v>0</v>
      </c>
      <c r="J246" s="7">
        <v>0</v>
      </c>
      <c r="K246" s="7">
        <v>6100</v>
      </c>
      <c r="L246" s="7"/>
      <c r="M246" s="7"/>
      <c r="N246" s="7">
        <f t="shared" si="38"/>
        <v>6100</v>
      </c>
      <c r="O246" s="7">
        <v>0</v>
      </c>
      <c r="P246" s="20">
        <f t="shared" si="39"/>
        <v>6100</v>
      </c>
      <c r="Q246" s="20">
        <v>0</v>
      </c>
    </row>
    <row r="247" spans="1:17" s="168" customFormat="1" ht="14.25" customHeight="1">
      <c r="A247" s="19"/>
      <c r="B247" s="14" t="s">
        <v>92</v>
      </c>
      <c r="C247" s="282" t="s">
        <v>106</v>
      </c>
      <c r="D247" s="7"/>
      <c r="E247" s="7"/>
      <c r="F247" s="7"/>
      <c r="G247" s="7"/>
      <c r="H247" s="7"/>
      <c r="I247" s="7"/>
      <c r="J247" s="7"/>
      <c r="K247" s="7">
        <v>9600</v>
      </c>
      <c r="L247" s="7">
        <v>0</v>
      </c>
      <c r="M247" s="7"/>
      <c r="N247" s="7">
        <f t="shared" si="38"/>
        <v>9600</v>
      </c>
      <c r="O247" s="7">
        <v>0</v>
      </c>
      <c r="P247" s="20">
        <f t="shared" si="39"/>
        <v>9600</v>
      </c>
      <c r="Q247" s="20">
        <v>0</v>
      </c>
    </row>
    <row r="248" spans="1:17" s="168" customFormat="1" ht="15" customHeight="1">
      <c r="A248" s="19"/>
      <c r="B248" s="14" t="s">
        <v>247</v>
      </c>
      <c r="C248" s="236" t="s">
        <v>274</v>
      </c>
      <c r="D248" s="7"/>
      <c r="E248" s="7">
        <v>262668</v>
      </c>
      <c r="F248" s="7">
        <v>7750</v>
      </c>
      <c r="G248" s="7">
        <v>0</v>
      </c>
      <c r="H248" s="7">
        <v>374867</v>
      </c>
      <c r="I248" s="7">
        <v>0</v>
      </c>
      <c r="J248" s="7">
        <v>0</v>
      </c>
      <c r="K248" s="7">
        <v>541899</v>
      </c>
      <c r="L248" s="7">
        <v>0</v>
      </c>
      <c r="M248" s="7"/>
      <c r="N248" s="7">
        <f t="shared" si="38"/>
        <v>541899</v>
      </c>
      <c r="O248" s="7">
        <v>0</v>
      </c>
      <c r="P248" s="20">
        <f t="shared" si="39"/>
        <v>541899</v>
      </c>
      <c r="Q248" s="20">
        <v>0</v>
      </c>
    </row>
    <row r="249" spans="1:17" s="168" customFormat="1" ht="13.5" customHeight="1">
      <c r="A249" s="19"/>
      <c r="B249" s="14" t="s">
        <v>407</v>
      </c>
      <c r="C249" s="236" t="s">
        <v>408</v>
      </c>
      <c r="D249" s="7"/>
      <c r="E249" s="7">
        <v>5206</v>
      </c>
      <c r="F249" s="7">
        <v>0</v>
      </c>
      <c r="G249" s="7">
        <v>1000</v>
      </c>
      <c r="H249" s="7">
        <v>6041</v>
      </c>
      <c r="I249" s="7">
        <v>0</v>
      </c>
      <c r="J249" s="7">
        <v>0</v>
      </c>
      <c r="K249" s="7">
        <v>8200</v>
      </c>
      <c r="L249" s="7"/>
      <c r="M249" s="7"/>
      <c r="N249" s="7">
        <f t="shared" si="38"/>
        <v>8200</v>
      </c>
      <c r="O249" s="7">
        <v>0</v>
      </c>
      <c r="P249" s="20">
        <f t="shared" si="39"/>
        <v>8200</v>
      </c>
      <c r="Q249" s="20">
        <v>0</v>
      </c>
    </row>
    <row r="250" spans="1:17" s="168" customFormat="1" ht="14.25" customHeight="1">
      <c r="A250" s="19"/>
      <c r="B250" s="14" t="s">
        <v>249</v>
      </c>
      <c r="C250" s="236" t="s">
        <v>368</v>
      </c>
      <c r="D250" s="7"/>
      <c r="E250" s="7">
        <v>47707</v>
      </c>
      <c r="F250" s="7">
        <v>0</v>
      </c>
      <c r="G250" s="7">
        <v>3000</v>
      </c>
      <c r="H250" s="7">
        <v>88260</v>
      </c>
      <c r="I250" s="7">
        <v>0</v>
      </c>
      <c r="J250" s="7">
        <v>0</v>
      </c>
      <c r="K250" s="7">
        <v>65278</v>
      </c>
      <c r="L250" s="7"/>
      <c r="M250" s="7"/>
      <c r="N250" s="7">
        <f t="shared" si="38"/>
        <v>65278</v>
      </c>
      <c r="O250" s="7">
        <v>0</v>
      </c>
      <c r="P250" s="20">
        <f t="shared" si="39"/>
        <v>65278</v>
      </c>
      <c r="Q250" s="20">
        <v>0</v>
      </c>
    </row>
    <row r="251" spans="1:17" s="168" customFormat="1" ht="14.25" customHeight="1">
      <c r="A251" s="19"/>
      <c r="B251" s="14" t="s">
        <v>251</v>
      </c>
      <c r="C251" s="236" t="s">
        <v>369</v>
      </c>
      <c r="D251" s="7"/>
      <c r="E251" s="7">
        <v>55847</v>
      </c>
      <c r="F251" s="7">
        <v>0</v>
      </c>
      <c r="G251" s="7">
        <v>765</v>
      </c>
      <c r="H251" s="7">
        <v>241716</v>
      </c>
      <c r="I251" s="7">
        <v>0</v>
      </c>
      <c r="J251" s="7">
        <v>0</v>
      </c>
      <c r="K251" s="7">
        <v>0</v>
      </c>
      <c r="L251" s="7">
        <v>0</v>
      </c>
      <c r="M251" s="7"/>
      <c r="N251" s="7">
        <f t="shared" si="38"/>
        <v>0</v>
      </c>
      <c r="O251" s="7">
        <v>0</v>
      </c>
      <c r="P251" s="20">
        <f t="shared" si="39"/>
        <v>0</v>
      </c>
      <c r="Q251" s="20">
        <v>0</v>
      </c>
    </row>
    <row r="252" spans="1:17" s="168" customFormat="1" ht="14.25" customHeight="1">
      <c r="A252" s="19"/>
      <c r="B252" s="14" t="s">
        <v>320</v>
      </c>
      <c r="C252" s="236" t="s">
        <v>321</v>
      </c>
      <c r="D252" s="7"/>
      <c r="E252" s="7"/>
      <c r="F252" s="7"/>
      <c r="G252" s="7"/>
      <c r="H252" s="7"/>
      <c r="I252" s="7"/>
      <c r="J252" s="7"/>
      <c r="K252" s="7">
        <v>2625</v>
      </c>
      <c r="L252" s="7"/>
      <c r="M252" s="7"/>
      <c r="N252" s="7">
        <f t="shared" si="38"/>
        <v>2625</v>
      </c>
      <c r="O252" s="7"/>
      <c r="P252" s="20">
        <f t="shared" si="39"/>
        <v>2625</v>
      </c>
      <c r="Q252" s="20">
        <v>0</v>
      </c>
    </row>
    <row r="253" spans="1:17" s="168" customFormat="1" ht="14.25" customHeight="1">
      <c r="A253" s="19"/>
      <c r="B253" s="14" t="s">
        <v>253</v>
      </c>
      <c r="C253" s="236" t="s">
        <v>370</v>
      </c>
      <c r="D253" s="7"/>
      <c r="E253" s="7">
        <v>36614</v>
      </c>
      <c r="F253" s="7">
        <v>3715</v>
      </c>
      <c r="G253" s="7">
        <v>0</v>
      </c>
      <c r="H253" s="7">
        <v>96150</v>
      </c>
      <c r="I253" s="7">
        <v>0</v>
      </c>
      <c r="J253" s="7">
        <v>0</v>
      </c>
      <c r="K253" s="7">
        <v>110125</v>
      </c>
      <c r="L253" s="7"/>
      <c r="M253" s="7"/>
      <c r="N253" s="7">
        <f t="shared" si="38"/>
        <v>110125</v>
      </c>
      <c r="O253" s="7">
        <v>0</v>
      </c>
      <c r="P253" s="20">
        <f t="shared" si="39"/>
        <v>110125</v>
      </c>
      <c r="Q253" s="20">
        <v>0</v>
      </c>
    </row>
    <row r="254" spans="1:17" s="168" customFormat="1" ht="14.25" customHeight="1">
      <c r="A254" s="19"/>
      <c r="B254" s="14" t="s">
        <v>107</v>
      </c>
      <c r="C254" s="236" t="s">
        <v>108</v>
      </c>
      <c r="D254" s="7"/>
      <c r="E254" s="7"/>
      <c r="F254" s="7"/>
      <c r="G254" s="7"/>
      <c r="H254" s="7"/>
      <c r="I254" s="7"/>
      <c r="J254" s="7"/>
      <c r="K254" s="7">
        <v>6206</v>
      </c>
      <c r="L254" s="7">
        <v>0</v>
      </c>
      <c r="M254" s="7"/>
      <c r="N254" s="7">
        <f t="shared" si="38"/>
        <v>6206</v>
      </c>
      <c r="O254" s="7">
        <v>0</v>
      </c>
      <c r="P254" s="20">
        <f t="shared" si="39"/>
        <v>6206</v>
      </c>
      <c r="Q254" s="20">
        <v>0</v>
      </c>
    </row>
    <row r="255" spans="1:17" s="168" customFormat="1" ht="15" customHeight="1">
      <c r="A255" s="19"/>
      <c r="B255" s="14" t="s">
        <v>255</v>
      </c>
      <c r="C255" s="236" t="s">
        <v>256</v>
      </c>
      <c r="D255" s="7"/>
      <c r="E255" s="7">
        <v>3411</v>
      </c>
      <c r="F255" s="7">
        <v>0</v>
      </c>
      <c r="G255" s="7">
        <v>1800</v>
      </c>
      <c r="H255" s="7">
        <v>3500</v>
      </c>
      <c r="I255" s="7">
        <v>0</v>
      </c>
      <c r="J255" s="7">
        <v>0</v>
      </c>
      <c r="K255" s="7">
        <v>5500</v>
      </c>
      <c r="L255" s="7"/>
      <c r="M255" s="7"/>
      <c r="N255" s="7">
        <f t="shared" si="38"/>
        <v>5500</v>
      </c>
      <c r="O255" s="7">
        <v>0</v>
      </c>
      <c r="P255" s="20">
        <f t="shared" si="39"/>
        <v>5500</v>
      </c>
      <c r="Q255" s="20">
        <v>0</v>
      </c>
    </row>
    <row r="256" spans="1:17" s="168" customFormat="1" ht="13.5" customHeight="1">
      <c r="A256" s="19"/>
      <c r="B256" s="14" t="s">
        <v>191</v>
      </c>
      <c r="C256" s="236" t="s">
        <v>192</v>
      </c>
      <c r="D256" s="7"/>
      <c r="E256" s="7"/>
      <c r="F256" s="7"/>
      <c r="G256" s="7"/>
      <c r="H256" s="7"/>
      <c r="I256" s="7"/>
      <c r="J256" s="7"/>
      <c r="K256" s="7">
        <v>500</v>
      </c>
      <c r="L256" s="7"/>
      <c r="M256" s="7"/>
      <c r="N256" s="7">
        <f t="shared" si="38"/>
        <v>500</v>
      </c>
      <c r="O256" s="7">
        <v>0</v>
      </c>
      <c r="P256" s="20">
        <f t="shared" si="39"/>
        <v>500</v>
      </c>
      <c r="Q256" s="20">
        <v>0</v>
      </c>
    </row>
    <row r="257" spans="1:17" s="168" customFormat="1" ht="12" customHeight="1">
      <c r="A257" s="19"/>
      <c r="B257" s="14" t="s">
        <v>257</v>
      </c>
      <c r="C257" s="236" t="s">
        <v>258</v>
      </c>
      <c r="D257" s="7"/>
      <c r="E257" s="7">
        <v>5700</v>
      </c>
      <c r="F257" s="7">
        <v>0</v>
      </c>
      <c r="G257" s="7">
        <v>0</v>
      </c>
      <c r="H257" s="16">
        <v>5900</v>
      </c>
      <c r="I257" s="7">
        <v>0</v>
      </c>
      <c r="J257" s="7">
        <v>0</v>
      </c>
      <c r="K257" s="7">
        <v>0</v>
      </c>
      <c r="L257" s="7"/>
      <c r="M257" s="7"/>
      <c r="N257" s="7">
        <f t="shared" si="38"/>
        <v>0</v>
      </c>
      <c r="O257" s="7">
        <v>0</v>
      </c>
      <c r="P257" s="20">
        <f t="shared" si="39"/>
        <v>0</v>
      </c>
      <c r="Q257" s="20">
        <v>0</v>
      </c>
    </row>
    <row r="258" spans="1:17" s="168" customFormat="1" ht="15" customHeight="1">
      <c r="A258" s="19"/>
      <c r="B258" s="14" t="s">
        <v>259</v>
      </c>
      <c r="C258" s="236" t="s">
        <v>260</v>
      </c>
      <c r="D258" s="7"/>
      <c r="E258" s="7">
        <v>156652</v>
      </c>
      <c r="F258" s="7">
        <v>0</v>
      </c>
      <c r="G258" s="7">
        <v>1550</v>
      </c>
      <c r="H258" s="7">
        <v>123022</v>
      </c>
      <c r="I258" s="7">
        <v>0</v>
      </c>
      <c r="J258" s="7">
        <v>0</v>
      </c>
      <c r="K258" s="7">
        <v>165996</v>
      </c>
      <c r="L258" s="7"/>
      <c r="M258" s="7"/>
      <c r="N258" s="7">
        <f t="shared" si="38"/>
        <v>165996</v>
      </c>
      <c r="O258" s="7">
        <v>0</v>
      </c>
      <c r="P258" s="20">
        <f t="shared" si="39"/>
        <v>165996</v>
      </c>
      <c r="Q258" s="20">
        <v>0</v>
      </c>
    </row>
    <row r="259" spans="1:17" s="168" customFormat="1" ht="13.5" customHeight="1">
      <c r="A259" s="19"/>
      <c r="B259" s="14" t="s">
        <v>275</v>
      </c>
      <c r="C259" s="236" t="s">
        <v>276</v>
      </c>
      <c r="D259" s="7"/>
      <c r="E259" s="7"/>
      <c r="F259" s="7"/>
      <c r="G259" s="7"/>
      <c r="H259" s="7">
        <v>0</v>
      </c>
      <c r="I259" s="7">
        <v>0</v>
      </c>
      <c r="J259" s="7">
        <v>0</v>
      </c>
      <c r="K259" s="7">
        <v>207</v>
      </c>
      <c r="L259" s="7">
        <v>0</v>
      </c>
      <c r="M259" s="7"/>
      <c r="N259" s="7">
        <f t="shared" si="38"/>
        <v>207</v>
      </c>
      <c r="O259" s="7">
        <v>0</v>
      </c>
      <c r="P259" s="20">
        <f t="shared" si="39"/>
        <v>207</v>
      </c>
      <c r="Q259" s="20">
        <v>0</v>
      </c>
    </row>
    <row r="260" spans="1:17" s="168" customFormat="1" ht="13.5" customHeight="1">
      <c r="A260" s="19"/>
      <c r="B260" s="14" t="s">
        <v>117</v>
      </c>
      <c r="C260" s="236" t="s">
        <v>555</v>
      </c>
      <c r="D260" s="7"/>
      <c r="E260" s="7"/>
      <c r="F260" s="7"/>
      <c r="G260" s="7"/>
      <c r="H260" s="7"/>
      <c r="I260" s="7"/>
      <c r="J260" s="7"/>
      <c r="K260" s="7">
        <v>2767</v>
      </c>
      <c r="L260" s="7"/>
      <c r="M260" s="7">
        <v>0</v>
      </c>
      <c r="N260" s="7">
        <f t="shared" si="38"/>
        <v>2767</v>
      </c>
      <c r="O260" s="7">
        <v>0</v>
      </c>
      <c r="P260" s="20">
        <f t="shared" si="39"/>
        <v>2767</v>
      </c>
      <c r="Q260" s="20">
        <v>0</v>
      </c>
    </row>
    <row r="261" spans="1:17" s="168" customFormat="1" ht="15" customHeight="1">
      <c r="A261" s="19"/>
      <c r="B261" s="14" t="s">
        <v>277</v>
      </c>
      <c r="C261" s="282" t="s">
        <v>423</v>
      </c>
      <c r="D261" s="7"/>
      <c r="E261" s="7">
        <v>654061</v>
      </c>
      <c r="F261" s="7">
        <v>0</v>
      </c>
      <c r="G261" s="7">
        <v>0</v>
      </c>
      <c r="H261" s="7">
        <v>1886648</v>
      </c>
      <c r="I261" s="7">
        <v>0</v>
      </c>
      <c r="J261" s="7">
        <v>0</v>
      </c>
      <c r="K261" s="7">
        <v>30000</v>
      </c>
      <c r="L261" s="7">
        <v>0</v>
      </c>
      <c r="M261" s="7"/>
      <c r="N261" s="7">
        <f t="shared" si="38"/>
        <v>30000</v>
      </c>
      <c r="O261" s="7">
        <v>0</v>
      </c>
      <c r="P261" s="20">
        <f t="shared" si="39"/>
        <v>30000</v>
      </c>
      <c r="Q261" s="20">
        <v>0</v>
      </c>
    </row>
    <row r="262" spans="1:17" s="168" customFormat="1" ht="17.25" customHeight="1">
      <c r="A262" s="19"/>
      <c r="B262" s="14" t="s">
        <v>410</v>
      </c>
      <c r="C262" s="119" t="s">
        <v>428</v>
      </c>
      <c r="D262" s="7">
        <v>0</v>
      </c>
      <c r="E262" s="7">
        <v>257318</v>
      </c>
      <c r="F262" s="7">
        <v>0</v>
      </c>
      <c r="G262" s="7">
        <v>74165</v>
      </c>
      <c r="H262" s="7" t="e">
        <f>H263+H264+#REF!</f>
        <v>#REF!</v>
      </c>
      <c r="I262" s="7">
        <v>0</v>
      </c>
      <c r="J262" s="7">
        <v>0</v>
      </c>
      <c r="K262" s="7">
        <f>K263+K264</f>
        <v>114909</v>
      </c>
      <c r="L262" s="7">
        <f>L263+L264</f>
        <v>0</v>
      </c>
      <c r="M262" s="7">
        <f>M263+M264</f>
        <v>0</v>
      </c>
      <c r="N262" s="7">
        <f t="shared" si="38"/>
        <v>114909</v>
      </c>
      <c r="O262" s="7">
        <f>O263+O264</f>
        <v>0</v>
      </c>
      <c r="P262" s="7">
        <f>P263+P264</f>
        <v>114909</v>
      </c>
      <c r="Q262" s="7">
        <f>Q263+Q264</f>
        <v>0</v>
      </c>
    </row>
    <row r="263" spans="1:17" s="168" customFormat="1" ht="15.75" customHeight="1">
      <c r="A263" s="19"/>
      <c r="B263" s="14"/>
      <c r="C263" s="260" t="s">
        <v>421</v>
      </c>
      <c r="D263" s="7"/>
      <c r="E263" s="7"/>
      <c r="F263" s="7"/>
      <c r="G263" s="7"/>
      <c r="H263" s="7">
        <v>227897</v>
      </c>
      <c r="I263" s="7">
        <v>0</v>
      </c>
      <c r="J263" s="7">
        <v>0</v>
      </c>
      <c r="K263" s="7">
        <v>79914</v>
      </c>
      <c r="L263" s="7">
        <v>0</v>
      </c>
      <c r="M263" s="7"/>
      <c r="N263" s="7">
        <f t="shared" si="38"/>
        <v>79914</v>
      </c>
      <c r="O263" s="7">
        <v>0</v>
      </c>
      <c r="P263" s="20">
        <f t="shared" si="39"/>
        <v>79914</v>
      </c>
      <c r="Q263" s="20">
        <v>0</v>
      </c>
    </row>
    <row r="264" spans="1:17" s="168" customFormat="1" ht="20.25" customHeight="1">
      <c r="A264" s="19"/>
      <c r="B264" s="14"/>
      <c r="C264" s="260" t="s">
        <v>422</v>
      </c>
      <c r="D264" s="7"/>
      <c r="E264" s="7"/>
      <c r="F264" s="7"/>
      <c r="G264" s="7"/>
      <c r="H264" s="7">
        <v>98014</v>
      </c>
      <c r="I264" s="7">
        <v>0</v>
      </c>
      <c r="J264" s="7">
        <v>0</v>
      </c>
      <c r="K264" s="7">
        <v>34995</v>
      </c>
      <c r="L264" s="7">
        <v>0</v>
      </c>
      <c r="M264" s="7"/>
      <c r="N264" s="7">
        <f t="shared" si="38"/>
        <v>34995</v>
      </c>
      <c r="O264" s="7">
        <v>0</v>
      </c>
      <c r="P264" s="20">
        <f t="shared" si="39"/>
        <v>34995</v>
      </c>
      <c r="Q264" s="20">
        <v>0</v>
      </c>
    </row>
    <row r="265" spans="1:17" s="168" customFormat="1" ht="17.25" customHeight="1">
      <c r="A265" s="183" t="s">
        <v>431</v>
      </c>
      <c r="B265" s="289"/>
      <c r="C265" s="154" t="s">
        <v>432</v>
      </c>
      <c r="D265" s="154">
        <f>D266+D267+D268+D270</f>
        <v>181894</v>
      </c>
      <c r="E265" s="154">
        <f>E266+E267+E268+E269+E270+E273</f>
        <v>139815</v>
      </c>
      <c r="F265" s="154">
        <f>F266+F267+F268+F269+F270+F273</f>
        <v>0</v>
      </c>
      <c r="G265" s="154">
        <f>G266+G267+G268+G269+G270+G273</f>
        <v>0</v>
      </c>
      <c r="H265" s="154" t="e">
        <f>H266+H267+H268+H269+H270+H273+#REF!+H272</f>
        <v>#REF!</v>
      </c>
      <c r="I265" s="154" t="e">
        <f>I266+I267+I268+I269+I270+I273+#REF!+I272</f>
        <v>#REF!</v>
      </c>
      <c r="J265" s="154" t="e">
        <f>J266+J267+J268+J269+J270+J273+#REF!+J272</f>
        <v>#REF!</v>
      </c>
      <c r="K265" s="154">
        <f>K266+K267+K268+K269+K270+K273+K274+K272+K271</f>
        <v>716418</v>
      </c>
      <c r="L265" s="154">
        <f>L266+L267+L268+L269+L270+L273+L272+L271</f>
        <v>0</v>
      </c>
      <c r="M265" s="154">
        <f>M266+M267+M268+M269+M270+M273+M272+M271</f>
        <v>0</v>
      </c>
      <c r="N265" s="154">
        <f aca="true" t="shared" si="40" ref="N265:N309">K265+L265-M265</f>
        <v>716418</v>
      </c>
      <c r="O265" s="154">
        <f>O266+O267+O268+O269+O270+O273+O272+O271</f>
        <v>0</v>
      </c>
      <c r="P265" s="154">
        <f>P266+P267+P268+P269+P270+P273+P272+P271+P274</f>
        <v>716418</v>
      </c>
      <c r="Q265" s="154">
        <f>Q266+Q267+Q268+Q269+Q270+Q273+Q272+Q271</f>
        <v>0</v>
      </c>
    </row>
    <row r="266" spans="1:17" s="168" customFormat="1" ht="12.75" customHeight="1">
      <c r="A266" s="22"/>
      <c r="B266" s="14" t="s">
        <v>237</v>
      </c>
      <c r="C266" s="282" t="s">
        <v>238</v>
      </c>
      <c r="D266" s="7">
        <v>134523</v>
      </c>
      <c r="E266" s="7">
        <v>97179</v>
      </c>
      <c r="F266" s="7">
        <v>0</v>
      </c>
      <c r="G266" s="7">
        <v>0</v>
      </c>
      <c r="H266" s="7">
        <v>148200</v>
      </c>
      <c r="I266" s="7">
        <v>0</v>
      </c>
      <c r="J266" s="7">
        <v>0</v>
      </c>
      <c r="K266" s="7">
        <v>409204</v>
      </c>
      <c r="L266" s="7">
        <v>0</v>
      </c>
      <c r="M266" s="7"/>
      <c r="N266" s="7">
        <f t="shared" si="40"/>
        <v>409204</v>
      </c>
      <c r="O266" s="7">
        <v>0</v>
      </c>
      <c r="P266" s="20">
        <f>N266</f>
        <v>409204</v>
      </c>
      <c r="Q266" s="20">
        <v>0</v>
      </c>
    </row>
    <row r="267" spans="1:17" s="168" customFormat="1" ht="13.5" customHeight="1">
      <c r="A267" s="22"/>
      <c r="B267" s="14" t="s">
        <v>241</v>
      </c>
      <c r="C267" s="282" t="s">
        <v>242</v>
      </c>
      <c r="D267" s="7">
        <v>12439</v>
      </c>
      <c r="E267" s="7">
        <v>9136</v>
      </c>
      <c r="F267" s="7">
        <v>0</v>
      </c>
      <c r="G267" s="7">
        <v>0</v>
      </c>
      <c r="H267" s="7">
        <v>8185</v>
      </c>
      <c r="I267" s="7">
        <v>0</v>
      </c>
      <c r="J267" s="7">
        <v>0</v>
      </c>
      <c r="K267" s="7">
        <v>31160</v>
      </c>
      <c r="L267" s="7"/>
      <c r="M267" s="7">
        <v>0</v>
      </c>
      <c r="N267" s="7">
        <f t="shared" si="40"/>
        <v>31160</v>
      </c>
      <c r="O267" s="7">
        <v>0</v>
      </c>
      <c r="P267" s="20">
        <f aca="true" t="shared" si="41" ref="P267:P274">N267</f>
        <v>31160</v>
      </c>
      <c r="Q267" s="20">
        <v>0</v>
      </c>
    </row>
    <row r="268" spans="1:17" s="168" customFormat="1" ht="13.5" customHeight="1">
      <c r="A268" s="22"/>
      <c r="B268" s="21" t="s">
        <v>299</v>
      </c>
      <c r="C268" s="282" t="s">
        <v>313</v>
      </c>
      <c r="D268" s="7">
        <v>28542</v>
      </c>
      <c r="E268" s="7">
        <v>18746</v>
      </c>
      <c r="F268" s="7">
        <v>0</v>
      </c>
      <c r="G268" s="7">
        <v>0</v>
      </c>
      <c r="H268" s="16">
        <v>27400</v>
      </c>
      <c r="I268" s="7">
        <v>0</v>
      </c>
      <c r="J268" s="7">
        <v>0</v>
      </c>
      <c r="K268" s="7">
        <v>79221</v>
      </c>
      <c r="L268" s="7"/>
      <c r="M268" s="7"/>
      <c r="N268" s="7">
        <f t="shared" si="40"/>
        <v>79221</v>
      </c>
      <c r="O268" s="7">
        <v>0</v>
      </c>
      <c r="P268" s="20">
        <f t="shared" si="41"/>
        <v>79221</v>
      </c>
      <c r="Q268" s="20">
        <v>0</v>
      </c>
    </row>
    <row r="269" spans="1:17" s="168" customFormat="1" ht="14.25" customHeight="1">
      <c r="A269" s="22"/>
      <c r="B269" s="21" t="s">
        <v>245</v>
      </c>
      <c r="C269" s="282" t="s">
        <v>246</v>
      </c>
      <c r="D269" s="7"/>
      <c r="E269" s="7">
        <v>2604</v>
      </c>
      <c r="F269" s="7">
        <v>0</v>
      </c>
      <c r="G269" s="7">
        <v>0</v>
      </c>
      <c r="H269" s="16">
        <v>3760</v>
      </c>
      <c r="I269" s="7">
        <v>0</v>
      </c>
      <c r="J269" s="7">
        <v>0</v>
      </c>
      <c r="K269" s="7">
        <v>10790</v>
      </c>
      <c r="L269" s="7"/>
      <c r="M269" s="7"/>
      <c r="N269" s="7">
        <f t="shared" si="40"/>
        <v>10790</v>
      </c>
      <c r="O269" s="7">
        <v>0</v>
      </c>
      <c r="P269" s="20">
        <f t="shared" si="41"/>
        <v>10790</v>
      </c>
      <c r="Q269" s="20">
        <v>0</v>
      </c>
    </row>
    <row r="270" spans="1:17" s="168" customFormat="1" ht="14.25" customHeight="1">
      <c r="A270" s="22"/>
      <c r="B270" s="14" t="s">
        <v>247</v>
      </c>
      <c r="C270" s="236" t="s">
        <v>274</v>
      </c>
      <c r="D270" s="7">
        <v>6390</v>
      </c>
      <c r="E270" s="7">
        <v>5029</v>
      </c>
      <c r="F270" s="7">
        <v>0</v>
      </c>
      <c r="G270" s="7">
        <v>0</v>
      </c>
      <c r="H270" s="16">
        <v>400</v>
      </c>
      <c r="I270" s="7">
        <v>0</v>
      </c>
      <c r="J270" s="7">
        <v>0</v>
      </c>
      <c r="K270" s="7">
        <v>6800</v>
      </c>
      <c r="L270" s="7"/>
      <c r="M270" s="7"/>
      <c r="N270" s="7">
        <f t="shared" si="40"/>
        <v>6800</v>
      </c>
      <c r="O270" s="7">
        <v>0</v>
      </c>
      <c r="P270" s="20">
        <f t="shared" si="41"/>
        <v>6800</v>
      </c>
      <c r="Q270" s="20">
        <v>0</v>
      </c>
    </row>
    <row r="271" spans="1:17" s="168" customFormat="1" ht="13.5" customHeight="1">
      <c r="A271" s="22"/>
      <c r="B271" s="14" t="s">
        <v>249</v>
      </c>
      <c r="C271" s="236" t="s">
        <v>250</v>
      </c>
      <c r="D271" s="7"/>
      <c r="E271" s="7"/>
      <c r="F271" s="7"/>
      <c r="G271" s="7"/>
      <c r="H271" s="16"/>
      <c r="I271" s="7"/>
      <c r="J271" s="7"/>
      <c r="K271" s="7">
        <v>6500</v>
      </c>
      <c r="L271" s="7"/>
      <c r="M271" s="7"/>
      <c r="N271" s="7">
        <f t="shared" si="40"/>
        <v>6500</v>
      </c>
      <c r="O271" s="7">
        <v>0</v>
      </c>
      <c r="P271" s="20">
        <f t="shared" si="41"/>
        <v>6500</v>
      </c>
      <c r="Q271" s="20">
        <v>0</v>
      </c>
    </row>
    <row r="272" spans="1:17" s="168" customFormat="1" ht="13.5" customHeight="1">
      <c r="A272" s="22"/>
      <c r="B272" s="14" t="s">
        <v>253</v>
      </c>
      <c r="C272" s="236" t="s">
        <v>254</v>
      </c>
      <c r="D272" s="7"/>
      <c r="E272" s="7"/>
      <c r="F272" s="7"/>
      <c r="G272" s="7"/>
      <c r="H272" s="16">
        <v>1600</v>
      </c>
      <c r="I272" s="7">
        <v>0</v>
      </c>
      <c r="J272" s="7">
        <v>0</v>
      </c>
      <c r="K272" s="7">
        <v>8200</v>
      </c>
      <c r="L272" s="7"/>
      <c r="M272" s="7"/>
      <c r="N272" s="7">
        <f t="shared" si="40"/>
        <v>8200</v>
      </c>
      <c r="O272" s="7">
        <v>0</v>
      </c>
      <c r="P272" s="20">
        <f t="shared" si="41"/>
        <v>8200</v>
      </c>
      <c r="Q272" s="20">
        <v>0</v>
      </c>
    </row>
    <row r="273" spans="1:17" s="168" customFormat="1" ht="16.5" customHeight="1">
      <c r="A273" s="22"/>
      <c r="B273" s="14" t="s">
        <v>259</v>
      </c>
      <c r="C273" s="236" t="s">
        <v>260</v>
      </c>
      <c r="D273" s="7"/>
      <c r="E273" s="7">
        <v>7121</v>
      </c>
      <c r="F273" s="7">
        <v>0</v>
      </c>
      <c r="G273" s="7">
        <v>0</v>
      </c>
      <c r="H273" s="16">
        <v>7875</v>
      </c>
      <c r="I273" s="7">
        <v>0</v>
      </c>
      <c r="J273" s="7">
        <v>0</v>
      </c>
      <c r="K273" s="7">
        <v>19556</v>
      </c>
      <c r="L273" s="7"/>
      <c r="M273" s="7"/>
      <c r="N273" s="7">
        <f t="shared" si="40"/>
        <v>19556</v>
      </c>
      <c r="O273" s="7">
        <v>0</v>
      </c>
      <c r="P273" s="20">
        <f t="shared" si="41"/>
        <v>19556</v>
      </c>
      <c r="Q273" s="20">
        <v>0</v>
      </c>
    </row>
    <row r="274" spans="1:17" s="168" customFormat="1" ht="22.5" customHeight="1">
      <c r="A274" s="22"/>
      <c r="B274" s="14" t="s">
        <v>410</v>
      </c>
      <c r="C274" s="119" t="s">
        <v>185</v>
      </c>
      <c r="D274" s="7"/>
      <c r="E274" s="7"/>
      <c r="F274" s="7"/>
      <c r="G274" s="7"/>
      <c r="H274" s="16"/>
      <c r="I274" s="7"/>
      <c r="J274" s="7"/>
      <c r="K274" s="7">
        <v>144987</v>
      </c>
      <c r="L274" s="7"/>
      <c r="M274" s="7"/>
      <c r="N274" s="7">
        <f t="shared" si="40"/>
        <v>144987</v>
      </c>
      <c r="O274" s="7"/>
      <c r="P274" s="20">
        <f t="shared" si="41"/>
        <v>144987</v>
      </c>
      <c r="Q274" s="20"/>
    </row>
    <row r="275" spans="1:17" s="168" customFormat="1" ht="15.75" customHeight="1">
      <c r="A275" s="183" t="s">
        <v>435</v>
      </c>
      <c r="B275" s="192"/>
      <c r="C275" s="182" t="s">
        <v>438</v>
      </c>
      <c r="D275" s="154"/>
      <c r="E275" s="154" t="e">
        <f>#REF!+E277+#REF!+#REF!+#REF!</f>
        <v>#REF!</v>
      </c>
      <c r="F275" s="154" t="e">
        <f>#REF!+F277+#REF!+#REF!+#REF!</f>
        <v>#REF!</v>
      </c>
      <c r="G275" s="154" t="e">
        <f>#REF!+G277+#REF!+#REF!+#REF!</f>
        <v>#REF!</v>
      </c>
      <c r="H275" s="154" t="e">
        <f>H277+#REF!</f>
        <v>#REF!</v>
      </c>
      <c r="I275" s="154" t="e">
        <f>I277+#REF!</f>
        <v>#REF!</v>
      </c>
      <c r="J275" s="154" t="e">
        <f>J277+#REF!</f>
        <v>#REF!</v>
      </c>
      <c r="K275" s="154">
        <f>K276+K277</f>
        <v>1200</v>
      </c>
      <c r="L275" s="154">
        <f>L276+L277</f>
        <v>0</v>
      </c>
      <c r="M275" s="154">
        <f>M276+M277</f>
        <v>0</v>
      </c>
      <c r="N275" s="418">
        <f t="shared" si="40"/>
        <v>1200</v>
      </c>
      <c r="O275" s="154">
        <f>O276+O277</f>
        <v>0</v>
      </c>
      <c r="P275" s="154">
        <f>P276+P277</f>
        <v>1200</v>
      </c>
      <c r="Q275" s="154">
        <f>Q276+Q277</f>
        <v>0</v>
      </c>
    </row>
    <row r="276" spans="1:17" s="168" customFormat="1" ht="13.5" customHeight="1">
      <c r="A276" s="22"/>
      <c r="B276" s="14" t="s">
        <v>92</v>
      </c>
      <c r="C276" s="282" t="s">
        <v>106</v>
      </c>
      <c r="D276" s="7"/>
      <c r="E276" s="7"/>
      <c r="F276" s="7"/>
      <c r="G276" s="7"/>
      <c r="H276" s="6"/>
      <c r="I276" s="6"/>
      <c r="J276" s="6"/>
      <c r="K276" s="16">
        <v>960</v>
      </c>
      <c r="L276" s="16"/>
      <c r="M276" s="6"/>
      <c r="N276" s="7">
        <f t="shared" si="40"/>
        <v>960</v>
      </c>
      <c r="O276" s="7">
        <v>0</v>
      </c>
      <c r="P276" s="20">
        <f>N276</f>
        <v>960</v>
      </c>
      <c r="Q276" s="20">
        <v>0</v>
      </c>
    </row>
    <row r="277" spans="1:17" s="168" customFormat="1" ht="14.25" customHeight="1">
      <c r="A277" s="22"/>
      <c r="B277" s="14" t="s">
        <v>247</v>
      </c>
      <c r="C277" s="282" t="s">
        <v>274</v>
      </c>
      <c r="D277" s="7"/>
      <c r="E277" s="7">
        <v>43</v>
      </c>
      <c r="F277" s="7">
        <v>0</v>
      </c>
      <c r="G277" s="7">
        <v>7</v>
      </c>
      <c r="H277" s="7">
        <v>100</v>
      </c>
      <c r="I277" s="7">
        <v>0</v>
      </c>
      <c r="J277" s="7">
        <v>0</v>
      </c>
      <c r="K277" s="7">
        <v>240</v>
      </c>
      <c r="L277" s="7"/>
      <c r="M277" s="7"/>
      <c r="N277" s="7">
        <f t="shared" si="40"/>
        <v>240</v>
      </c>
      <c r="O277" s="7">
        <v>0</v>
      </c>
      <c r="P277" s="20">
        <f>N277</f>
        <v>240</v>
      </c>
      <c r="Q277" s="20">
        <v>0</v>
      </c>
    </row>
    <row r="278" spans="1:17" s="168" customFormat="1" ht="22.5" customHeight="1">
      <c r="A278" s="183" t="s">
        <v>439</v>
      </c>
      <c r="B278" s="192"/>
      <c r="C278" s="182" t="s">
        <v>440</v>
      </c>
      <c r="D278" s="154"/>
      <c r="E278" s="154">
        <f>E279</f>
        <v>22260</v>
      </c>
      <c r="F278" s="154">
        <f>F279</f>
        <v>0</v>
      </c>
      <c r="G278" s="154">
        <f>G279</f>
        <v>0</v>
      </c>
      <c r="H278" s="154">
        <f>H279+H280+H281+H282+H283</f>
        <v>39096</v>
      </c>
      <c r="I278" s="154">
        <f>I279+I280+I281+I282+I283</f>
        <v>0</v>
      </c>
      <c r="J278" s="154">
        <f>J279+J280+J281+J282+J283</f>
        <v>0</v>
      </c>
      <c r="K278" s="154">
        <f>K279+K280+K281+K282+K283+K284+K285</f>
        <v>61720</v>
      </c>
      <c r="L278" s="154">
        <f>L279+L280+L281+L282+L283+L284+L285</f>
        <v>500</v>
      </c>
      <c r="M278" s="154">
        <f>M279+M280+M281+M282+M283+M284+M285</f>
        <v>500</v>
      </c>
      <c r="N278" s="154">
        <f t="shared" si="40"/>
        <v>61720</v>
      </c>
      <c r="O278" s="154">
        <f>O279+O280+O281+O282+O283+O285</f>
        <v>0</v>
      </c>
      <c r="P278" s="154">
        <f>P279+P280+P281+P282+P283+P284+P285</f>
        <v>49720</v>
      </c>
      <c r="Q278" s="154">
        <f>Q279+Q280+Q281+Q282+Q283+Q285</f>
        <v>12000</v>
      </c>
    </row>
    <row r="279" spans="1:17" s="168" customFormat="1" ht="17.25" customHeight="1">
      <c r="A279" s="22"/>
      <c r="B279" s="14" t="s">
        <v>433</v>
      </c>
      <c r="C279" s="282" t="s">
        <v>674</v>
      </c>
      <c r="D279" s="7"/>
      <c r="E279" s="7">
        <v>22260</v>
      </c>
      <c r="F279" s="7">
        <v>0</v>
      </c>
      <c r="G279" s="7">
        <v>0</v>
      </c>
      <c r="H279" s="16">
        <v>12000</v>
      </c>
      <c r="I279" s="16">
        <v>0</v>
      </c>
      <c r="J279" s="16">
        <v>0</v>
      </c>
      <c r="K279" s="7">
        <v>12000</v>
      </c>
      <c r="L279" s="7"/>
      <c r="M279" s="16"/>
      <c r="N279" s="7">
        <f t="shared" si="40"/>
        <v>12000</v>
      </c>
      <c r="O279" s="7">
        <v>0</v>
      </c>
      <c r="P279" s="20">
        <v>0</v>
      </c>
      <c r="Q279" s="20">
        <f>N279</f>
        <v>12000</v>
      </c>
    </row>
    <row r="280" spans="1:17" s="168" customFormat="1" ht="15" customHeight="1">
      <c r="A280" s="22"/>
      <c r="B280" s="14" t="s">
        <v>116</v>
      </c>
      <c r="C280" s="282" t="s">
        <v>675</v>
      </c>
      <c r="D280" s="7"/>
      <c r="E280" s="7"/>
      <c r="F280" s="7"/>
      <c r="G280" s="7"/>
      <c r="H280" s="16">
        <v>13500</v>
      </c>
      <c r="I280" s="16">
        <v>0</v>
      </c>
      <c r="J280" s="16">
        <v>0</v>
      </c>
      <c r="K280" s="7">
        <v>800</v>
      </c>
      <c r="L280" s="7">
        <v>0</v>
      </c>
      <c r="M280" s="16"/>
      <c r="N280" s="7">
        <f t="shared" si="40"/>
        <v>800</v>
      </c>
      <c r="O280" s="7">
        <v>0</v>
      </c>
      <c r="P280" s="20">
        <f aca="true" t="shared" si="42" ref="P280:P285">N280</f>
        <v>800</v>
      </c>
      <c r="Q280" s="20">
        <v>0</v>
      </c>
    </row>
    <row r="281" spans="1:17" s="168" customFormat="1" ht="16.5" customHeight="1">
      <c r="A281" s="22"/>
      <c r="B281" s="14" t="s">
        <v>237</v>
      </c>
      <c r="C281" s="282" t="s">
        <v>238</v>
      </c>
      <c r="D281" s="7"/>
      <c r="E281" s="7"/>
      <c r="F281" s="7"/>
      <c r="G281" s="7"/>
      <c r="H281" s="16">
        <v>11300</v>
      </c>
      <c r="I281" s="16">
        <v>0</v>
      </c>
      <c r="J281" s="16">
        <v>0</v>
      </c>
      <c r="K281" s="7">
        <v>18720</v>
      </c>
      <c r="L281" s="7"/>
      <c r="M281" s="16"/>
      <c r="N281" s="7">
        <f t="shared" si="40"/>
        <v>18720</v>
      </c>
      <c r="O281" s="7">
        <v>0</v>
      </c>
      <c r="P281" s="20">
        <f t="shared" si="42"/>
        <v>18720</v>
      </c>
      <c r="Q281" s="20">
        <v>0</v>
      </c>
    </row>
    <row r="282" spans="1:17" s="168" customFormat="1" ht="15" customHeight="1">
      <c r="A282" s="22"/>
      <c r="B282" s="14" t="s">
        <v>270</v>
      </c>
      <c r="C282" s="282" t="s">
        <v>313</v>
      </c>
      <c r="D282" s="7"/>
      <c r="E282" s="7"/>
      <c r="F282" s="7"/>
      <c r="G282" s="7"/>
      <c r="H282" s="16">
        <v>2020</v>
      </c>
      <c r="I282" s="16">
        <v>0</v>
      </c>
      <c r="J282" s="16">
        <v>0</v>
      </c>
      <c r="K282" s="7">
        <v>3369</v>
      </c>
      <c r="L282" s="7"/>
      <c r="M282" s="16"/>
      <c r="N282" s="7">
        <f t="shared" si="40"/>
        <v>3369</v>
      </c>
      <c r="O282" s="7">
        <v>0</v>
      </c>
      <c r="P282" s="20">
        <f t="shared" si="42"/>
        <v>3369</v>
      </c>
      <c r="Q282" s="20">
        <v>0</v>
      </c>
    </row>
    <row r="283" spans="1:17" s="168" customFormat="1" ht="15.75" customHeight="1">
      <c r="A283" s="22"/>
      <c r="B283" s="14" t="s">
        <v>245</v>
      </c>
      <c r="C283" s="282" t="s">
        <v>246</v>
      </c>
      <c r="D283" s="7"/>
      <c r="E283" s="7"/>
      <c r="F283" s="7"/>
      <c r="G283" s="7"/>
      <c r="H283" s="16">
        <v>276</v>
      </c>
      <c r="I283" s="16">
        <v>0</v>
      </c>
      <c r="J283" s="16">
        <v>0</v>
      </c>
      <c r="K283" s="7">
        <v>459</v>
      </c>
      <c r="L283" s="7"/>
      <c r="M283" s="16"/>
      <c r="N283" s="7">
        <f t="shared" si="40"/>
        <v>459</v>
      </c>
      <c r="O283" s="7">
        <v>0</v>
      </c>
      <c r="P283" s="20">
        <f t="shared" si="42"/>
        <v>459</v>
      </c>
      <c r="Q283" s="20">
        <v>0</v>
      </c>
    </row>
    <row r="284" spans="1:17" s="168" customFormat="1" ht="15.75" customHeight="1">
      <c r="A284" s="22"/>
      <c r="B284" s="14" t="s">
        <v>92</v>
      </c>
      <c r="C284" s="282" t="s">
        <v>653</v>
      </c>
      <c r="D284" s="7"/>
      <c r="E284" s="7"/>
      <c r="F284" s="7"/>
      <c r="G284" s="7"/>
      <c r="H284" s="16"/>
      <c r="I284" s="16"/>
      <c r="J284" s="16"/>
      <c r="K284" s="7">
        <v>1000</v>
      </c>
      <c r="L284" s="7"/>
      <c r="M284" s="16">
        <v>500</v>
      </c>
      <c r="N284" s="7">
        <f t="shared" si="40"/>
        <v>500</v>
      </c>
      <c r="O284" s="7">
        <v>0</v>
      </c>
      <c r="P284" s="20">
        <f t="shared" si="42"/>
        <v>500</v>
      </c>
      <c r="Q284" s="20">
        <v>0</v>
      </c>
    </row>
    <row r="285" spans="1:17" s="168" customFormat="1" ht="15.75" customHeight="1">
      <c r="A285" s="22"/>
      <c r="B285" s="14" t="s">
        <v>253</v>
      </c>
      <c r="C285" s="236" t="s">
        <v>254</v>
      </c>
      <c r="D285" s="7"/>
      <c r="E285" s="7"/>
      <c r="F285" s="7"/>
      <c r="G285" s="7"/>
      <c r="H285" s="16"/>
      <c r="I285" s="16"/>
      <c r="J285" s="16"/>
      <c r="K285" s="7">
        <v>25372</v>
      </c>
      <c r="L285" s="7">
        <v>500</v>
      </c>
      <c r="M285" s="16">
        <v>0</v>
      </c>
      <c r="N285" s="7">
        <f t="shared" si="40"/>
        <v>25872</v>
      </c>
      <c r="O285" s="7">
        <v>0</v>
      </c>
      <c r="P285" s="20">
        <f t="shared" si="42"/>
        <v>25872</v>
      </c>
      <c r="Q285" s="20">
        <v>0</v>
      </c>
    </row>
    <row r="286" spans="1:17" s="168" customFormat="1" ht="15.75" customHeight="1">
      <c r="A286" s="183" t="s">
        <v>441</v>
      </c>
      <c r="B286" s="289"/>
      <c r="C286" s="154" t="s">
        <v>315</v>
      </c>
      <c r="D286" s="288"/>
      <c r="E286" s="288"/>
      <c r="F286" s="288"/>
      <c r="G286" s="288"/>
      <c r="H286" s="201"/>
      <c r="I286" s="201"/>
      <c r="J286" s="201"/>
      <c r="K286" s="154">
        <f>K287</f>
        <v>45813</v>
      </c>
      <c r="L286" s="154">
        <f>L287</f>
        <v>0</v>
      </c>
      <c r="M286" s="154">
        <f>M287</f>
        <v>0</v>
      </c>
      <c r="N286" s="154">
        <f t="shared" si="40"/>
        <v>45813</v>
      </c>
      <c r="O286" s="154">
        <f>O287</f>
        <v>0</v>
      </c>
      <c r="P286" s="154">
        <f>P287</f>
        <v>45813</v>
      </c>
      <c r="Q286" s="154">
        <f>Q287</f>
        <v>0</v>
      </c>
    </row>
    <row r="287" spans="1:17" s="168" customFormat="1" ht="15.75" customHeight="1">
      <c r="A287" s="22"/>
      <c r="B287" s="27" t="s">
        <v>259</v>
      </c>
      <c r="C287" s="16" t="s">
        <v>260</v>
      </c>
      <c r="D287" s="7"/>
      <c r="E287" s="7"/>
      <c r="F287" s="7"/>
      <c r="G287" s="7"/>
      <c r="H287" s="16"/>
      <c r="I287" s="16"/>
      <c r="J287" s="16"/>
      <c r="K287" s="7">
        <v>45813</v>
      </c>
      <c r="L287" s="7">
        <v>0</v>
      </c>
      <c r="M287" s="16"/>
      <c r="N287" s="7">
        <f t="shared" si="40"/>
        <v>45813</v>
      </c>
      <c r="O287" s="7">
        <v>0</v>
      </c>
      <c r="P287" s="20">
        <f>N287</f>
        <v>45813</v>
      </c>
      <c r="Q287" s="20">
        <v>0</v>
      </c>
    </row>
    <row r="288" spans="1:17" s="167" customFormat="1" ht="21" customHeight="1">
      <c r="A288" s="165" t="s">
        <v>512</v>
      </c>
      <c r="B288" s="162"/>
      <c r="C288" s="159" t="s">
        <v>624</v>
      </c>
      <c r="D288" s="159"/>
      <c r="E288" s="159"/>
      <c r="F288" s="159"/>
      <c r="G288" s="159"/>
      <c r="H288" s="159"/>
      <c r="I288" s="159"/>
      <c r="J288" s="159"/>
      <c r="K288" s="159">
        <f>K289</f>
        <v>97701</v>
      </c>
      <c r="L288" s="159">
        <f>L289</f>
        <v>0</v>
      </c>
      <c r="M288" s="159">
        <f>M289</f>
        <v>0</v>
      </c>
      <c r="N288" s="159">
        <f t="shared" si="40"/>
        <v>97701</v>
      </c>
      <c r="O288" s="159">
        <f>O289</f>
        <v>0</v>
      </c>
      <c r="P288" s="159">
        <f>P289</f>
        <v>97701</v>
      </c>
      <c r="Q288" s="159">
        <f>Q289</f>
        <v>0</v>
      </c>
    </row>
    <row r="289" spans="1:17" s="168" customFormat="1" ht="15.75" customHeight="1">
      <c r="A289" s="183" t="s">
        <v>513</v>
      </c>
      <c r="B289" s="289"/>
      <c r="C289" s="288" t="s">
        <v>514</v>
      </c>
      <c r="D289" s="288"/>
      <c r="E289" s="288"/>
      <c r="F289" s="288"/>
      <c r="G289" s="288"/>
      <c r="H289" s="201"/>
      <c r="I289" s="201"/>
      <c r="J289" s="201"/>
      <c r="K289" s="154">
        <f>SUM(K290:K297)</f>
        <v>97701</v>
      </c>
      <c r="L289" s="154">
        <f>SUM(L290:L297)</f>
        <v>0</v>
      </c>
      <c r="M289" s="154">
        <f>SUM(M290:M297)</f>
        <v>0</v>
      </c>
      <c r="N289" s="154">
        <f t="shared" si="40"/>
        <v>97701</v>
      </c>
      <c r="O289" s="288">
        <v>0</v>
      </c>
      <c r="P289" s="154">
        <f>SUM(P290:P297)</f>
        <v>97701</v>
      </c>
      <c r="Q289" s="288">
        <f>SUM(Q290:Q297)</f>
        <v>0</v>
      </c>
    </row>
    <row r="290" spans="1:17" s="168" customFormat="1" ht="15.75" customHeight="1">
      <c r="A290" s="22"/>
      <c r="B290" s="14" t="s">
        <v>515</v>
      </c>
      <c r="C290" s="236" t="s">
        <v>516</v>
      </c>
      <c r="D290" s="7"/>
      <c r="E290" s="7"/>
      <c r="F290" s="7"/>
      <c r="G290" s="7"/>
      <c r="H290" s="16"/>
      <c r="I290" s="16"/>
      <c r="J290" s="16"/>
      <c r="K290" s="7">
        <v>56400</v>
      </c>
      <c r="L290" s="7">
        <v>0</v>
      </c>
      <c r="M290" s="16"/>
      <c r="N290" s="7">
        <f t="shared" si="40"/>
        <v>56400</v>
      </c>
      <c r="O290" s="7">
        <v>0</v>
      </c>
      <c r="P290" s="20">
        <f>N290</f>
        <v>56400</v>
      </c>
      <c r="Q290" s="20">
        <v>0</v>
      </c>
    </row>
    <row r="291" spans="1:17" s="168" customFormat="1" ht="15.75" customHeight="1">
      <c r="A291" s="22"/>
      <c r="B291" s="14" t="s">
        <v>517</v>
      </c>
      <c r="C291" s="236" t="s">
        <v>516</v>
      </c>
      <c r="D291" s="7"/>
      <c r="E291" s="7"/>
      <c r="F291" s="7"/>
      <c r="G291" s="7"/>
      <c r="H291" s="16"/>
      <c r="I291" s="16"/>
      <c r="J291" s="16"/>
      <c r="K291" s="7">
        <v>31440</v>
      </c>
      <c r="L291" s="7">
        <v>0</v>
      </c>
      <c r="M291" s="16"/>
      <c r="N291" s="7">
        <f t="shared" si="40"/>
        <v>31440</v>
      </c>
      <c r="O291" s="7">
        <v>0</v>
      </c>
      <c r="P291" s="20">
        <f aca="true" t="shared" si="43" ref="P291:P297">N291</f>
        <v>31440</v>
      </c>
      <c r="Q291" s="20">
        <v>0</v>
      </c>
    </row>
    <row r="292" spans="1:17" s="168" customFormat="1" ht="15.75" customHeight="1">
      <c r="A292" s="22"/>
      <c r="B292" s="14" t="s">
        <v>518</v>
      </c>
      <c r="C292" s="236" t="s">
        <v>106</v>
      </c>
      <c r="D292" s="7"/>
      <c r="E292" s="7"/>
      <c r="F292" s="7"/>
      <c r="G292" s="7"/>
      <c r="H292" s="16"/>
      <c r="I292" s="16"/>
      <c r="J292" s="16"/>
      <c r="K292" s="7">
        <v>3690</v>
      </c>
      <c r="L292" s="7">
        <v>0</v>
      </c>
      <c r="M292" s="16"/>
      <c r="N292" s="7">
        <f t="shared" si="40"/>
        <v>3690</v>
      </c>
      <c r="O292" s="7">
        <v>0</v>
      </c>
      <c r="P292" s="20">
        <f t="shared" si="43"/>
        <v>3690</v>
      </c>
      <c r="Q292" s="20">
        <v>0</v>
      </c>
    </row>
    <row r="293" spans="1:17" s="168" customFormat="1" ht="15.75" customHeight="1">
      <c r="A293" s="22"/>
      <c r="B293" s="14" t="s">
        <v>519</v>
      </c>
      <c r="C293" s="236" t="s">
        <v>106</v>
      </c>
      <c r="D293" s="7"/>
      <c r="E293" s="7"/>
      <c r="F293" s="7"/>
      <c r="G293" s="7"/>
      <c r="H293" s="16"/>
      <c r="I293" s="16"/>
      <c r="J293" s="16"/>
      <c r="K293" s="7">
        <v>1230</v>
      </c>
      <c r="L293" s="7">
        <v>0</v>
      </c>
      <c r="M293" s="16"/>
      <c r="N293" s="7">
        <f t="shared" si="40"/>
        <v>1230</v>
      </c>
      <c r="O293" s="7">
        <v>0</v>
      </c>
      <c r="P293" s="20">
        <f t="shared" si="43"/>
        <v>1230</v>
      </c>
      <c r="Q293" s="20">
        <v>0</v>
      </c>
    </row>
    <row r="294" spans="1:17" s="168" customFormat="1" ht="15.75" customHeight="1">
      <c r="A294" s="22"/>
      <c r="B294" s="14" t="s">
        <v>520</v>
      </c>
      <c r="C294" s="236" t="s">
        <v>248</v>
      </c>
      <c r="D294" s="7"/>
      <c r="E294" s="7"/>
      <c r="F294" s="7"/>
      <c r="G294" s="7"/>
      <c r="H294" s="16"/>
      <c r="I294" s="16"/>
      <c r="J294" s="16"/>
      <c r="K294" s="7">
        <v>705</v>
      </c>
      <c r="L294" s="7">
        <v>0</v>
      </c>
      <c r="M294" s="16"/>
      <c r="N294" s="7">
        <f t="shared" si="40"/>
        <v>705</v>
      </c>
      <c r="O294" s="7">
        <v>0</v>
      </c>
      <c r="P294" s="20">
        <f t="shared" si="43"/>
        <v>705</v>
      </c>
      <c r="Q294" s="20">
        <v>0</v>
      </c>
    </row>
    <row r="295" spans="1:17" s="168" customFormat="1" ht="15.75" customHeight="1">
      <c r="A295" s="22"/>
      <c r="B295" s="14" t="s">
        <v>523</v>
      </c>
      <c r="C295" s="236" t="s">
        <v>248</v>
      </c>
      <c r="D295" s="7"/>
      <c r="E295" s="7"/>
      <c r="F295" s="7"/>
      <c r="G295" s="7"/>
      <c r="H295" s="16"/>
      <c r="I295" s="16"/>
      <c r="J295" s="16"/>
      <c r="K295" s="7">
        <v>236</v>
      </c>
      <c r="L295" s="7">
        <v>0</v>
      </c>
      <c r="M295" s="16"/>
      <c r="N295" s="7">
        <f t="shared" si="40"/>
        <v>236</v>
      </c>
      <c r="O295" s="7">
        <v>0</v>
      </c>
      <c r="P295" s="20">
        <f t="shared" si="43"/>
        <v>236</v>
      </c>
      <c r="Q295" s="20">
        <v>0</v>
      </c>
    </row>
    <row r="296" spans="1:17" s="168" customFormat="1" ht="15" customHeight="1">
      <c r="A296" s="22"/>
      <c r="B296" s="14" t="s">
        <v>521</v>
      </c>
      <c r="C296" s="236" t="s">
        <v>370</v>
      </c>
      <c r="D296" s="7"/>
      <c r="E296" s="7"/>
      <c r="F296" s="7"/>
      <c r="G296" s="7"/>
      <c r="H296" s="16"/>
      <c r="I296" s="16"/>
      <c r="J296" s="16"/>
      <c r="K296" s="7">
        <v>3000</v>
      </c>
      <c r="L296" s="7">
        <v>0</v>
      </c>
      <c r="M296" s="16">
        <v>0</v>
      </c>
      <c r="N296" s="7">
        <f t="shared" si="40"/>
        <v>3000</v>
      </c>
      <c r="O296" s="7">
        <v>0</v>
      </c>
      <c r="P296" s="20">
        <f t="shared" si="43"/>
        <v>3000</v>
      </c>
      <c r="Q296" s="20">
        <v>0</v>
      </c>
    </row>
    <row r="297" spans="1:17" s="168" customFormat="1" ht="16.5" customHeight="1">
      <c r="A297" s="22"/>
      <c r="B297" s="14" t="s">
        <v>522</v>
      </c>
      <c r="C297" s="236" t="s">
        <v>370</v>
      </c>
      <c r="D297" s="7"/>
      <c r="E297" s="7"/>
      <c r="F297" s="7"/>
      <c r="G297" s="7"/>
      <c r="H297" s="16"/>
      <c r="I297" s="16"/>
      <c r="J297" s="16"/>
      <c r="K297" s="7">
        <v>1000</v>
      </c>
      <c r="L297" s="7">
        <v>0</v>
      </c>
      <c r="M297" s="16">
        <v>0</v>
      </c>
      <c r="N297" s="7">
        <f t="shared" si="40"/>
        <v>1000</v>
      </c>
      <c r="O297" s="7">
        <v>0</v>
      </c>
      <c r="P297" s="20">
        <f t="shared" si="43"/>
        <v>1000</v>
      </c>
      <c r="Q297" s="20">
        <v>0</v>
      </c>
    </row>
    <row r="298" spans="1:17" s="168" customFormat="1" ht="16.5" customHeight="1">
      <c r="A298" s="158" t="s">
        <v>442</v>
      </c>
      <c r="B298" s="162"/>
      <c r="C298" s="159" t="s">
        <v>443</v>
      </c>
      <c r="D298" s="159" t="e">
        <f>D299+#REF!+#REF!+#REF!+#REF!+D310</f>
        <v>#REF!</v>
      </c>
      <c r="E298" s="159" t="e">
        <f>E299+#REF!+#REF!+#REF!+#REF!+E310</f>
        <v>#REF!</v>
      </c>
      <c r="F298" s="159" t="e">
        <f>F299+#REF!+#REF!+F310</f>
        <v>#REF!</v>
      </c>
      <c r="G298" s="159" t="e">
        <f>G299+#REF!+#REF!+G310</f>
        <v>#REF!</v>
      </c>
      <c r="H298" s="159" t="e">
        <f>H299+#REF!+H310</f>
        <v>#REF!</v>
      </c>
      <c r="I298" s="159" t="e">
        <f>I299+#REF!+I310</f>
        <v>#REF!</v>
      </c>
      <c r="J298" s="159" t="e">
        <f>J299+#REF!+J310</f>
        <v>#REF!</v>
      </c>
      <c r="K298" s="159">
        <f>K299+K304+K310</f>
        <v>3530690</v>
      </c>
      <c r="L298" s="159">
        <f>L299+L304+L310</f>
        <v>0</v>
      </c>
      <c r="M298" s="159">
        <f>M299+M304+M310</f>
        <v>0</v>
      </c>
      <c r="N298" s="159">
        <f t="shared" si="40"/>
        <v>3530690</v>
      </c>
      <c r="O298" s="159">
        <f>O299+O304+O310</f>
        <v>548000</v>
      </c>
      <c r="P298" s="159">
        <f>P299+P304+P310</f>
        <v>2982690</v>
      </c>
      <c r="Q298" s="159">
        <f>Q299+Q304+Q310</f>
        <v>0</v>
      </c>
    </row>
    <row r="299" spans="1:17" s="168" customFormat="1" ht="15" customHeight="1">
      <c r="A299" s="181" t="s">
        <v>444</v>
      </c>
      <c r="B299" s="289"/>
      <c r="C299" s="154" t="s">
        <v>445</v>
      </c>
      <c r="D299" s="154" t="e">
        <f>#REF!+#REF!+#REF!</f>
        <v>#REF!</v>
      </c>
      <c r="E299" s="154" t="e">
        <f>#REF!+#REF!+#REF!+E300</f>
        <v>#REF!</v>
      </c>
      <c r="F299" s="154" t="e">
        <f>#REF!+#REF!+#REF!+F300</f>
        <v>#REF!</v>
      </c>
      <c r="G299" s="154" t="e">
        <f>#REF!+#REF!+#REF!</f>
        <v>#REF!</v>
      </c>
      <c r="H299" s="154" t="e">
        <f>#REF!+H300+H303+H301+H302+#REF!</f>
        <v>#REF!</v>
      </c>
      <c r="I299" s="154" t="e">
        <f>#REF!+I300+I303+I301+I302+#REF!</f>
        <v>#REF!</v>
      </c>
      <c r="J299" s="154" t="e">
        <f>#REF!+J300+J303+J301+J302+#REF!</f>
        <v>#REF!</v>
      </c>
      <c r="K299" s="154">
        <f>SUM(K300:K303)</f>
        <v>2973938</v>
      </c>
      <c r="L299" s="154">
        <f>SUM(L300:L303)</f>
        <v>0</v>
      </c>
      <c r="M299" s="154">
        <f>SUM(M300:M303)</f>
        <v>0</v>
      </c>
      <c r="N299" s="154">
        <f t="shared" si="40"/>
        <v>2973938</v>
      </c>
      <c r="O299" s="154">
        <f>SUM(O300:O303)</f>
        <v>0</v>
      </c>
      <c r="P299" s="154">
        <f>SUM(P300:P303)</f>
        <v>2973938</v>
      </c>
      <c r="Q299" s="154">
        <f>SUM(Q300:Q303)</f>
        <v>0</v>
      </c>
    </row>
    <row r="300" spans="1:17" s="168" customFormat="1" ht="15.75" customHeight="1">
      <c r="A300" s="13"/>
      <c r="B300" s="14" t="s">
        <v>446</v>
      </c>
      <c r="C300" s="25" t="s">
        <v>200</v>
      </c>
      <c r="D300" s="16"/>
      <c r="E300" s="16">
        <v>0</v>
      </c>
      <c r="F300" s="16">
        <v>9135</v>
      </c>
      <c r="G300" s="16">
        <v>0</v>
      </c>
      <c r="H300" s="16">
        <v>100000</v>
      </c>
      <c r="I300" s="16">
        <v>0</v>
      </c>
      <c r="J300" s="16">
        <v>0</v>
      </c>
      <c r="K300" s="16">
        <v>250000</v>
      </c>
      <c r="L300" s="16"/>
      <c r="M300" s="16"/>
      <c r="N300" s="7">
        <f t="shared" si="40"/>
        <v>250000</v>
      </c>
      <c r="O300" s="16">
        <v>0</v>
      </c>
      <c r="P300" s="17">
        <f>N300</f>
        <v>250000</v>
      </c>
      <c r="Q300" s="15">
        <v>0</v>
      </c>
    </row>
    <row r="301" spans="1:17" s="168" customFormat="1" ht="16.5" customHeight="1">
      <c r="A301" s="13"/>
      <c r="B301" s="14" t="s">
        <v>277</v>
      </c>
      <c r="C301" s="119" t="s">
        <v>161</v>
      </c>
      <c r="D301" s="16"/>
      <c r="E301" s="16"/>
      <c r="F301" s="16"/>
      <c r="G301" s="16"/>
      <c r="H301" s="16">
        <v>5011670</v>
      </c>
      <c r="I301" s="16">
        <v>0</v>
      </c>
      <c r="J301" s="16">
        <v>0</v>
      </c>
      <c r="K301" s="16">
        <v>49676</v>
      </c>
      <c r="L301" s="16"/>
      <c r="M301" s="16"/>
      <c r="N301" s="7">
        <f t="shared" si="40"/>
        <v>49676</v>
      </c>
      <c r="O301" s="16">
        <v>0</v>
      </c>
      <c r="P301" s="17">
        <f>N301</f>
        <v>49676</v>
      </c>
      <c r="Q301" s="15">
        <v>0</v>
      </c>
    </row>
    <row r="302" spans="1:17" s="168" customFormat="1" ht="17.25" customHeight="1">
      <c r="A302" s="13"/>
      <c r="B302" s="14" t="s">
        <v>507</v>
      </c>
      <c r="C302" s="119" t="s">
        <v>161</v>
      </c>
      <c r="D302" s="16"/>
      <c r="E302" s="16"/>
      <c r="F302" s="16"/>
      <c r="G302" s="16"/>
      <c r="H302" s="16">
        <v>8600</v>
      </c>
      <c r="I302" s="16">
        <v>0</v>
      </c>
      <c r="J302" s="16">
        <v>0</v>
      </c>
      <c r="K302" s="16">
        <v>1801762</v>
      </c>
      <c r="L302" s="16"/>
      <c r="M302" s="16"/>
      <c r="N302" s="7">
        <f t="shared" si="40"/>
        <v>1801762</v>
      </c>
      <c r="O302" s="16">
        <v>0</v>
      </c>
      <c r="P302" s="17">
        <f>N302</f>
        <v>1801762</v>
      </c>
      <c r="Q302" s="15">
        <v>0</v>
      </c>
    </row>
    <row r="303" spans="1:17" s="168" customFormat="1" ht="16.5" customHeight="1">
      <c r="A303" s="13"/>
      <c r="B303" s="14" t="s">
        <v>665</v>
      </c>
      <c r="C303" s="119" t="s">
        <v>161</v>
      </c>
      <c r="D303" s="16"/>
      <c r="E303" s="16"/>
      <c r="F303" s="16"/>
      <c r="G303" s="16"/>
      <c r="H303" s="16">
        <v>74000</v>
      </c>
      <c r="I303" s="16">
        <v>0</v>
      </c>
      <c r="J303" s="16">
        <v>0</v>
      </c>
      <c r="K303" s="16">
        <v>872500</v>
      </c>
      <c r="L303" s="16"/>
      <c r="M303" s="16"/>
      <c r="N303" s="7">
        <f t="shared" si="40"/>
        <v>872500</v>
      </c>
      <c r="O303" s="16">
        <v>0</v>
      </c>
      <c r="P303" s="17">
        <f>N303</f>
        <v>872500</v>
      </c>
      <c r="Q303" s="15">
        <v>0</v>
      </c>
    </row>
    <row r="304" spans="1:17" s="167" customFormat="1" ht="16.5" customHeight="1">
      <c r="A304" s="181" t="s">
        <v>524</v>
      </c>
      <c r="B304" s="181"/>
      <c r="C304" s="182" t="s">
        <v>525</v>
      </c>
      <c r="D304" s="154"/>
      <c r="E304" s="154"/>
      <c r="F304" s="154"/>
      <c r="G304" s="154"/>
      <c r="H304" s="154"/>
      <c r="I304" s="154"/>
      <c r="J304" s="154"/>
      <c r="K304" s="154">
        <f>SUM(K305:K309)</f>
        <v>8752</v>
      </c>
      <c r="L304" s="154">
        <f>SUM(L305:L309)</f>
        <v>0</v>
      </c>
      <c r="M304" s="154">
        <f>SUM(M305:M309)</f>
        <v>0</v>
      </c>
      <c r="N304" s="154">
        <f t="shared" si="40"/>
        <v>8752</v>
      </c>
      <c r="O304" s="154">
        <f>SUM(O308:O309)</f>
        <v>0</v>
      </c>
      <c r="P304" s="154">
        <f>SUM(P305:P309)</f>
        <v>8752</v>
      </c>
      <c r="Q304" s="154">
        <f>SUM(Q308:Q309)</f>
        <v>0</v>
      </c>
    </row>
    <row r="305" spans="1:17" s="167" customFormat="1" ht="16.5" customHeight="1">
      <c r="A305" s="13"/>
      <c r="B305" s="26" t="s">
        <v>237</v>
      </c>
      <c r="C305" s="282" t="s">
        <v>238</v>
      </c>
      <c r="D305" s="6"/>
      <c r="E305" s="6"/>
      <c r="F305" s="6"/>
      <c r="G305" s="6"/>
      <c r="H305" s="6"/>
      <c r="I305" s="6"/>
      <c r="J305" s="6"/>
      <c r="K305" s="16">
        <v>4156</v>
      </c>
      <c r="L305" s="16"/>
      <c r="M305" s="6"/>
      <c r="N305" s="7">
        <f t="shared" si="40"/>
        <v>4156</v>
      </c>
      <c r="O305" s="16">
        <v>0</v>
      </c>
      <c r="P305" s="16">
        <f>N305</f>
        <v>4156</v>
      </c>
      <c r="Q305" s="16"/>
    </row>
    <row r="306" spans="1:17" s="167" customFormat="1" ht="15.75" customHeight="1">
      <c r="A306" s="13"/>
      <c r="B306" s="26" t="s">
        <v>270</v>
      </c>
      <c r="C306" s="282" t="s">
        <v>313</v>
      </c>
      <c r="D306" s="6"/>
      <c r="E306" s="6"/>
      <c r="F306" s="6"/>
      <c r="G306" s="6"/>
      <c r="H306" s="6"/>
      <c r="I306" s="6"/>
      <c r="J306" s="6"/>
      <c r="K306" s="16">
        <v>756</v>
      </c>
      <c r="L306" s="16"/>
      <c r="M306" s="6"/>
      <c r="N306" s="7">
        <f t="shared" si="40"/>
        <v>756</v>
      </c>
      <c r="O306" s="16">
        <v>0</v>
      </c>
      <c r="P306" s="16">
        <f>N306</f>
        <v>756</v>
      </c>
      <c r="Q306" s="16"/>
    </row>
    <row r="307" spans="1:17" s="167" customFormat="1" ht="17.25" customHeight="1">
      <c r="A307" s="13"/>
      <c r="B307" s="26" t="s">
        <v>245</v>
      </c>
      <c r="C307" s="282" t="s">
        <v>246</v>
      </c>
      <c r="D307" s="6"/>
      <c r="E307" s="6"/>
      <c r="F307" s="6"/>
      <c r="G307" s="6"/>
      <c r="H307" s="6"/>
      <c r="I307" s="6"/>
      <c r="J307" s="6"/>
      <c r="K307" s="16">
        <v>102</v>
      </c>
      <c r="L307" s="16"/>
      <c r="M307" s="6"/>
      <c r="N307" s="7">
        <f t="shared" si="40"/>
        <v>102</v>
      </c>
      <c r="O307" s="16">
        <v>0</v>
      </c>
      <c r="P307" s="16">
        <f>N307</f>
        <v>102</v>
      </c>
      <c r="Q307" s="16"/>
    </row>
    <row r="308" spans="1:17" s="168" customFormat="1" ht="15" customHeight="1">
      <c r="A308" s="24"/>
      <c r="B308" s="24" t="s">
        <v>247</v>
      </c>
      <c r="C308" s="282" t="s">
        <v>248</v>
      </c>
      <c r="D308" s="16"/>
      <c r="E308" s="16"/>
      <c r="F308" s="16"/>
      <c r="G308" s="16"/>
      <c r="H308" s="7"/>
      <c r="I308" s="7"/>
      <c r="J308" s="7"/>
      <c r="K308" s="7">
        <v>3547</v>
      </c>
      <c r="L308" s="7"/>
      <c r="M308" s="7">
        <v>0</v>
      </c>
      <c r="N308" s="7">
        <f t="shared" si="40"/>
        <v>3547</v>
      </c>
      <c r="O308" s="16">
        <v>0</v>
      </c>
      <c r="P308" s="16">
        <f>N308</f>
        <v>3547</v>
      </c>
      <c r="Q308" s="17">
        <v>0</v>
      </c>
    </row>
    <row r="309" spans="1:17" s="168" customFormat="1" ht="17.25" customHeight="1">
      <c r="A309" s="13"/>
      <c r="B309" s="24" t="s">
        <v>259</v>
      </c>
      <c r="C309" s="236" t="s">
        <v>260</v>
      </c>
      <c r="D309" s="16"/>
      <c r="E309" s="16"/>
      <c r="F309" s="16"/>
      <c r="G309" s="16"/>
      <c r="H309" s="7"/>
      <c r="I309" s="7"/>
      <c r="J309" s="7"/>
      <c r="K309" s="7">
        <v>191</v>
      </c>
      <c r="L309" s="7">
        <v>0</v>
      </c>
      <c r="M309" s="7"/>
      <c r="N309" s="7">
        <f t="shared" si="40"/>
        <v>191</v>
      </c>
      <c r="O309" s="16">
        <v>0</v>
      </c>
      <c r="P309" s="16">
        <f>N309</f>
        <v>191</v>
      </c>
      <c r="Q309" s="17"/>
    </row>
    <row r="310" spans="1:17" s="168" customFormat="1" ht="24.75" customHeight="1">
      <c r="A310" s="192" t="s">
        <v>448</v>
      </c>
      <c r="B310" s="290"/>
      <c r="C310" s="182" t="s">
        <v>62</v>
      </c>
      <c r="D310" s="154" t="e">
        <f>#REF!</f>
        <v>#REF!</v>
      </c>
      <c r="E310" s="154" t="e">
        <f>#REF!+E311+#REF!</f>
        <v>#REF!</v>
      </c>
      <c r="F310" s="154" t="e">
        <f>#REF!+F311+#REF!</f>
        <v>#REF!</v>
      </c>
      <c r="G310" s="154" t="e">
        <f>#REF!+G311+#REF!</f>
        <v>#REF!</v>
      </c>
      <c r="H310" s="154">
        <f aca="true" t="shared" si="44" ref="H310:Q310">H311</f>
        <v>363000</v>
      </c>
      <c r="I310" s="154">
        <f t="shared" si="44"/>
        <v>0</v>
      </c>
      <c r="J310" s="154">
        <f t="shared" si="44"/>
        <v>0</v>
      </c>
      <c r="K310" s="154">
        <f>K311</f>
        <v>548000</v>
      </c>
      <c r="L310" s="154">
        <f>L311</f>
        <v>0</v>
      </c>
      <c r="M310" s="154">
        <f>M311</f>
        <v>0</v>
      </c>
      <c r="N310" s="154">
        <f aca="true" t="shared" si="45" ref="N310:N358">K310+L310-M310</f>
        <v>548000</v>
      </c>
      <c r="O310" s="154">
        <f t="shared" si="44"/>
        <v>548000</v>
      </c>
      <c r="P310" s="154">
        <f t="shared" si="44"/>
        <v>0</v>
      </c>
      <c r="Q310" s="154">
        <f t="shared" si="44"/>
        <v>0</v>
      </c>
    </row>
    <row r="311" spans="1:17" s="168" customFormat="1" ht="13.5" customHeight="1">
      <c r="A311" s="19"/>
      <c r="B311" s="24" t="s">
        <v>449</v>
      </c>
      <c r="C311" s="282" t="s">
        <v>450</v>
      </c>
      <c r="D311" s="7"/>
      <c r="E311" s="7">
        <v>47223</v>
      </c>
      <c r="F311" s="7">
        <v>0</v>
      </c>
      <c r="G311" s="7">
        <v>0</v>
      </c>
      <c r="H311" s="7">
        <v>363000</v>
      </c>
      <c r="I311" s="7">
        <v>0</v>
      </c>
      <c r="J311" s="7">
        <v>0</v>
      </c>
      <c r="K311" s="7">
        <v>548000</v>
      </c>
      <c r="L311" s="7">
        <v>0</v>
      </c>
      <c r="M311" s="7"/>
      <c r="N311" s="7">
        <f t="shared" si="45"/>
        <v>548000</v>
      </c>
      <c r="O311" s="7">
        <f>N311</f>
        <v>548000</v>
      </c>
      <c r="P311" s="20">
        <v>0</v>
      </c>
      <c r="Q311" s="20">
        <v>0</v>
      </c>
    </row>
    <row r="312" spans="1:17" s="168" customFormat="1" ht="17.25" customHeight="1">
      <c r="A312" s="158" t="s">
        <v>375</v>
      </c>
      <c r="B312" s="158"/>
      <c r="C312" s="159" t="s">
        <v>382</v>
      </c>
      <c r="D312" s="159" t="e">
        <f>D313+D331+D347+#REF!+D352+#REF!+#REF!+D392</f>
        <v>#REF!</v>
      </c>
      <c r="E312" s="159" t="e">
        <f>E313+E331+E347+#REF!+E352+#REF!+#REF!+#REF!+E392+#REF!</f>
        <v>#REF!</v>
      </c>
      <c r="F312" s="159" t="e">
        <f>F313+F331+F347+#REF!+F352+#REF!+#REF!+#REF!+F392+#REF!</f>
        <v>#REF!</v>
      </c>
      <c r="G312" s="159" t="e">
        <f>G313+G331+G347+#REF!+G352+#REF!+#REF!+#REF!+G392+#REF!</f>
        <v>#REF!</v>
      </c>
      <c r="H312" s="159" t="e">
        <f>H313+H331+H347+#REF!+H352+#REF!+#REF!+#REF!+H392+#REF!</f>
        <v>#REF!</v>
      </c>
      <c r="I312" s="159" t="e">
        <f>I313+I331+I347+#REF!+I352+#REF!+#REF!+#REF!+I392+#REF!</f>
        <v>#REF!</v>
      </c>
      <c r="J312" s="159" t="e">
        <f>J313+J331+J347+#REF!+J352+#REF!+#REF!+#REF!+J392+#REF!</f>
        <v>#REF!</v>
      </c>
      <c r="K312" s="159">
        <f>K313+K331+K347+K352+K365+K377+K380</f>
        <v>3419911</v>
      </c>
      <c r="L312" s="159">
        <f>L313+L331+L347+L352+L365+L377+L380</f>
        <v>110082</v>
      </c>
      <c r="M312" s="159">
        <f>M313+M331+M347+M352+M365+M377+M380</f>
        <v>35082</v>
      </c>
      <c r="N312" s="159">
        <f t="shared" si="45"/>
        <v>3494911</v>
      </c>
      <c r="O312" s="159">
        <f>O313+O331+O347+O352+O365+O377+O380</f>
        <v>0</v>
      </c>
      <c r="P312" s="159">
        <f>P313+P331+P347+P352+P365+P377+P380</f>
        <v>3147472</v>
      </c>
      <c r="Q312" s="159">
        <f>Q313+Q331+Q347+Q352+Q365+Q377+Q380</f>
        <v>347439</v>
      </c>
    </row>
    <row r="313" spans="1:17" s="168" customFormat="1" ht="14.25" customHeight="1">
      <c r="A313" s="181" t="s">
        <v>377</v>
      </c>
      <c r="B313" s="181"/>
      <c r="C313" s="182" t="s">
        <v>452</v>
      </c>
      <c r="D313" s="154" t="e">
        <f>D316+D317+D318+#REF!</f>
        <v>#REF!</v>
      </c>
      <c r="E313" s="154" t="e">
        <f>E316+E317+E318+E319+#REF!+E314+#REF!+E315+E321+E322+#REF!+E324+#REF!+E325+E327+E328+E329+#REF!</f>
        <v>#REF!</v>
      </c>
      <c r="F313" s="154" t="e">
        <f>F316+F317+F318+F319+#REF!+F314+#REF!+F315+F321+F322+#REF!+F324+#REF!+F325+F327+F328+F329+#REF!</f>
        <v>#REF!</v>
      </c>
      <c r="G313" s="154" t="e">
        <f>G316+G317+G318+G319+#REF!+G314+#REF!+G315+G321+G322+#REF!+G324+#REF!+G325+G327+G328+G329+#REF!</f>
        <v>#REF!</v>
      </c>
      <c r="H313" s="154" t="e">
        <f>H316+H317+H318+H319+H314+H315+H321+H322+H324+H325+H327+H328+H329+#REF!+H323</f>
        <v>#REF!</v>
      </c>
      <c r="I313" s="154" t="e">
        <f>I316+I317+I318+I319+I314+I315+I321+I322+I324+I325+I327+I328+I329+#REF!+I323</f>
        <v>#REF!</v>
      </c>
      <c r="J313" s="154" t="e">
        <f>J316+J317+J318+J319+J314+J315+J321+J322+J324+J325+J327+J328+J329+#REF!+J323</f>
        <v>#REF!</v>
      </c>
      <c r="K313" s="154">
        <f>SUM(K314:K330)</f>
        <v>1262926</v>
      </c>
      <c r="L313" s="154">
        <f>SUM(L314:L330)</f>
        <v>6200</v>
      </c>
      <c r="M313" s="154">
        <f>SUM(M314:M330)</f>
        <v>6200</v>
      </c>
      <c r="N313" s="154">
        <f t="shared" si="45"/>
        <v>1262926</v>
      </c>
      <c r="O313" s="154">
        <f>SUM(O314:O330)</f>
        <v>0</v>
      </c>
      <c r="P313" s="154">
        <f>SUM(P314:P330)</f>
        <v>944735</v>
      </c>
      <c r="Q313" s="154">
        <f>SUM(Q314:Q330)</f>
        <v>318191</v>
      </c>
    </row>
    <row r="314" spans="1:17" s="168" customFormat="1" ht="14.25" customHeight="1">
      <c r="A314" s="13"/>
      <c r="B314" s="24" t="s">
        <v>220</v>
      </c>
      <c r="C314" s="236" t="s">
        <v>447</v>
      </c>
      <c r="D314" s="7"/>
      <c r="E314" s="7">
        <v>10492</v>
      </c>
      <c r="F314" s="7">
        <v>0</v>
      </c>
      <c r="G314" s="7">
        <v>0</v>
      </c>
      <c r="H314" s="7">
        <v>2952</v>
      </c>
      <c r="I314" s="7">
        <v>0</v>
      </c>
      <c r="J314" s="7">
        <v>0</v>
      </c>
      <c r="K314" s="7">
        <v>635</v>
      </c>
      <c r="L314" s="7"/>
      <c r="M314" s="7"/>
      <c r="N314" s="7">
        <f t="shared" si="45"/>
        <v>635</v>
      </c>
      <c r="O314" s="7">
        <v>0</v>
      </c>
      <c r="P314" s="20">
        <f>N314</f>
        <v>635</v>
      </c>
      <c r="Q314" s="20">
        <v>0</v>
      </c>
    </row>
    <row r="315" spans="1:17" s="168" customFormat="1" ht="14.25" customHeight="1">
      <c r="A315" s="13"/>
      <c r="B315" s="24" t="s">
        <v>454</v>
      </c>
      <c r="C315" s="236" t="s">
        <v>455</v>
      </c>
      <c r="D315" s="7"/>
      <c r="E315" s="7">
        <v>101199</v>
      </c>
      <c r="F315" s="7">
        <v>0</v>
      </c>
      <c r="G315" s="7">
        <v>0</v>
      </c>
      <c r="H315" s="7">
        <v>103850</v>
      </c>
      <c r="I315" s="7">
        <v>0</v>
      </c>
      <c r="J315" s="7">
        <v>0</v>
      </c>
      <c r="K315" s="7">
        <v>87955</v>
      </c>
      <c r="L315" s="7"/>
      <c r="M315" s="7">
        <v>0</v>
      </c>
      <c r="N315" s="7">
        <f t="shared" si="45"/>
        <v>87955</v>
      </c>
      <c r="O315" s="7">
        <v>0</v>
      </c>
      <c r="P315" s="20">
        <f aca="true" t="shared" si="46" ref="P315:P329">N315</f>
        <v>87955</v>
      </c>
      <c r="Q315" s="20">
        <v>0</v>
      </c>
    </row>
    <row r="316" spans="1:17" s="168" customFormat="1" ht="15" customHeight="1">
      <c r="A316" s="13"/>
      <c r="B316" s="24" t="s">
        <v>237</v>
      </c>
      <c r="C316" s="282" t="s">
        <v>238</v>
      </c>
      <c r="D316" s="7">
        <v>956632</v>
      </c>
      <c r="E316" s="7">
        <v>1089025</v>
      </c>
      <c r="F316" s="7">
        <v>0</v>
      </c>
      <c r="G316" s="7">
        <v>0</v>
      </c>
      <c r="H316" s="7">
        <v>335820</v>
      </c>
      <c r="I316" s="7">
        <v>0</v>
      </c>
      <c r="J316" s="7">
        <v>0</v>
      </c>
      <c r="K316" s="7">
        <v>468578</v>
      </c>
      <c r="L316" s="7">
        <v>0</v>
      </c>
      <c r="M316" s="7">
        <v>0</v>
      </c>
      <c r="N316" s="7">
        <f t="shared" si="45"/>
        <v>468578</v>
      </c>
      <c r="O316" s="7">
        <v>0</v>
      </c>
      <c r="P316" s="20">
        <f t="shared" si="46"/>
        <v>468578</v>
      </c>
      <c r="Q316" s="20">
        <v>0</v>
      </c>
    </row>
    <row r="317" spans="1:17" s="168" customFormat="1" ht="14.25" customHeight="1">
      <c r="A317" s="13"/>
      <c r="B317" s="24" t="s">
        <v>241</v>
      </c>
      <c r="C317" s="282" t="s">
        <v>242</v>
      </c>
      <c r="D317" s="8">
        <v>70520</v>
      </c>
      <c r="E317" s="7">
        <v>77400</v>
      </c>
      <c r="F317" s="7">
        <v>0</v>
      </c>
      <c r="G317" s="7">
        <v>0</v>
      </c>
      <c r="H317" s="7">
        <v>29155</v>
      </c>
      <c r="I317" s="7">
        <v>0</v>
      </c>
      <c r="J317" s="7">
        <v>0</v>
      </c>
      <c r="K317" s="7">
        <v>33919</v>
      </c>
      <c r="L317" s="7">
        <v>0</v>
      </c>
      <c r="M317" s="7"/>
      <c r="N317" s="7">
        <f t="shared" si="45"/>
        <v>33919</v>
      </c>
      <c r="O317" s="7">
        <v>0</v>
      </c>
      <c r="P317" s="20">
        <f t="shared" si="46"/>
        <v>33919</v>
      </c>
      <c r="Q317" s="20">
        <v>0</v>
      </c>
    </row>
    <row r="318" spans="1:17" s="168" customFormat="1" ht="15" customHeight="1">
      <c r="A318" s="13"/>
      <c r="B318" s="21" t="s">
        <v>299</v>
      </c>
      <c r="C318" s="282" t="s">
        <v>313</v>
      </c>
      <c r="D318" s="7">
        <v>208573</v>
      </c>
      <c r="E318" s="7">
        <v>207904</v>
      </c>
      <c r="F318" s="7">
        <v>0</v>
      </c>
      <c r="G318" s="7">
        <v>0</v>
      </c>
      <c r="H318" s="7">
        <v>65200</v>
      </c>
      <c r="I318" s="7">
        <v>0</v>
      </c>
      <c r="J318" s="7">
        <v>0</v>
      </c>
      <c r="K318" s="7">
        <v>78364</v>
      </c>
      <c r="L318" s="7"/>
      <c r="M318" s="7">
        <v>0</v>
      </c>
      <c r="N318" s="7">
        <f t="shared" si="45"/>
        <v>78364</v>
      </c>
      <c r="O318" s="7">
        <v>0</v>
      </c>
      <c r="P318" s="20">
        <f t="shared" si="46"/>
        <v>78364</v>
      </c>
      <c r="Q318" s="20">
        <v>0</v>
      </c>
    </row>
    <row r="319" spans="1:17" s="168" customFormat="1" ht="13.5" customHeight="1">
      <c r="A319" s="13"/>
      <c r="B319" s="21" t="s">
        <v>245</v>
      </c>
      <c r="C319" s="282" t="s">
        <v>246</v>
      </c>
      <c r="D319" s="7"/>
      <c r="E319" s="7">
        <v>27489</v>
      </c>
      <c r="F319" s="7">
        <v>0</v>
      </c>
      <c r="G319" s="7">
        <v>0</v>
      </c>
      <c r="H319" s="7">
        <v>8940</v>
      </c>
      <c r="I319" s="7">
        <v>0</v>
      </c>
      <c r="J319" s="7">
        <v>0</v>
      </c>
      <c r="K319" s="7">
        <v>10851</v>
      </c>
      <c r="L319" s="7"/>
      <c r="M319" s="7">
        <v>0</v>
      </c>
      <c r="N319" s="7">
        <f t="shared" si="45"/>
        <v>10851</v>
      </c>
      <c r="O319" s="7">
        <v>0</v>
      </c>
      <c r="P319" s="20">
        <f t="shared" si="46"/>
        <v>10851</v>
      </c>
      <c r="Q319" s="20">
        <v>0</v>
      </c>
    </row>
    <row r="320" spans="1:17" s="168" customFormat="1" ht="13.5" customHeight="1">
      <c r="A320" s="13"/>
      <c r="B320" s="21" t="s">
        <v>92</v>
      </c>
      <c r="C320" s="236" t="s">
        <v>106</v>
      </c>
      <c r="D320" s="7"/>
      <c r="E320" s="7"/>
      <c r="F320" s="7"/>
      <c r="G320" s="7"/>
      <c r="H320" s="7"/>
      <c r="I320" s="7"/>
      <c r="J320" s="7"/>
      <c r="K320" s="7">
        <v>1600</v>
      </c>
      <c r="L320" s="7">
        <v>0</v>
      </c>
      <c r="M320" s="7"/>
      <c r="N320" s="7">
        <f t="shared" si="45"/>
        <v>1600</v>
      </c>
      <c r="O320" s="7"/>
      <c r="P320" s="20">
        <f t="shared" si="46"/>
        <v>1600</v>
      </c>
      <c r="Q320" s="20"/>
    </row>
    <row r="321" spans="1:17" s="168" customFormat="1" ht="14.25" customHeight="1">
      <c r="A321" s="13"/>
      <c r="B321" s="24" t="s">
        <v>247</v>
      </c>
      <c r="C321" s="236" t="s">
        <v>414</v>
      </c>
      <c r="D321" s="7"/>
      <c r="E321" s="7">
        <v>96956</v>
      </c>
      <c r="F321" s="7">
        <v>0</v>
      </c>
      <c r="G321" s="7">
        <v>0</v>
      </c>
      <c r="H321" s="7">
        <v>36573</v>
      </c>
      <c r="I321" s="7">
        <v>0</v>
      </c>
      <c r="J321" s="7">
        <v>0</v>
      </c>
      <c r="K321" s="7">
        <v>51091</v>
      </c>
      <c r="L321" s="7">
        <v>0</v>
      </c>
      <c r="M321" s="7">
        <v>6200</v>
      </c>
      <c r="N321" s="7">
        <f t="shared" si="45"/>
        <v>44891</v>
      </c>
      <c r="O321" s="7">
        <v>0</v>
      </c>
      <c r="P321" s="20">
        <f t="shared" si="46"/>
        <v>44891</v>
      </c>
      <c r="Q321" s="20">
        <v>0</v>
      </c>
    </row>
    <row r="322" spans="1:17" s="168" customFormat="1" ht="16.5" customHeight="1">
      <c r="A322" s="13"/>
      <c r="B322" s="24" t="s">
        <v>364</v>
      </c>
      <c r="C322" s="236" t="s">
        <v>456</v>
      </c>
      <c r="D322" s="7"/>
      <c r="E322" s="7">
        <v>188099</v>
      </c>
      <c r="F322" s="7">
        <v>0</v>
      </c>
      <c r="G322" s="7">
        <v>0</v>
      </c>
      <c r="H322" s="16">
        <v>50136</v>
      </c>
      <c r="I322" s="7">
        <v>0</v>
      </c>
      <c r="J322" s="7">
        <v>0</v>
      </c>
      <c r="K322" s="7">
        <v>63000</v>
      </c>
      <c r="L322" s="7"/>
      <c r="M322" s="7"/>
      <c r="N322" s="7">
        <f t="shared" si="45"/>
        <v>63000</v>
      </c>
      <c r="O322" s="7">
        <v>0</v>
      </c>
      <c r="P322" s="20">
        <f t="shared" si="46"/>
        <v>63000</v>
      </c>
      <c r="Q322" s="20">
        <v>0</v>
      </c>
    </row>
    <row r="323" spans="1:17" s="168" customFormat="1" ht="15.75" customHeight="1">
      <c r="A323" s="13"/>
      <c r="B323" s="24" t="s">
        <v>459</v>
      </c>
      <c r="C323" s="236" t="s">
        <v>460</v>
      </c>
      <c r="D323" s="7"/>
      <c r="E323" s="7"/>
      <c r="F323" s="7"/>
      <c r="G323" s="7"/>
      <c r="H323" s="16">
        <v>1500</v>
      </c>
      <c r="I323" s="7">
        <v>0</v>
      </c>
      <c r="J323" s="7">
        <v>0</v>
      </c>
      <c r="K323" s="7">
        <v>2400</v>
      </c>
      <c r="L323" s="7">
        <v>1200</v>
      </c>
      <c r="M323" s="7"/>
      <c r="N323" s="7">
        <f t="shared" si="45"/>
        <v>3600</v>
      </c>
      <c r="O323" s="7">
        <v>0</v>
      </c>
      <c r="P323" s="20">
        <f t="shared" si="46"/>
        <v>3600</v>
      </c>
      <c r="Q323" s="20">
        <v>0</v>
      </c>
    </row>
    <row r="324" spans="1:17" s="168" customFormat="1" ht="16.5" customHeight="1">
      <c r="A324" s="13"/>
      <c r="B324" s="24" t="s">
        <v>249</v>
      </c>
      <c r="C324" s="236" t="s">
        <v>368</v>
      </c>
      <c r="D324" s="7"/>
      <c r="E324" s="7">
        <v>82690</v>
      </c>
      <c r="F324" s="7">
        <v>0</v>
      </c>
      <c r="G324" s="7">
        <v>0</v>
      </c>
      <c r="H324" s="7">
        <v>63330</v>
      </c>
      <c r="I324" s="7">
        <v>0</v>
      </c>
      <c r="J324" s="7">
        <v>0</v>
      </c>
      <c r="K324" s="7">
        <v>88024</v>
      </c>
      <c r="L324" s="7"/>
      <c r="M324" s="7">
        <v>0</v>
      </c>
      <c r="N324" s="7">
        <f t="shared" si="45"/>
        <v>88024</v>
      </c>
      <c r="O324" s="7">
        <v>0</v>
      </c>
      <c r="P324" s="20">
        <f t="shared" si="46"/>
        <v>88024</v>
      </c>
      <c r="Q324" s="20">
        <v>0</v>
      </c>
    </row>
    <row r="325" spans="1:17" s="168" customFormat="1" ht="16.5" customHeight="1">
      <c r="A325" s="13"/>
      <c r="B325" s="24" t="s">
        <v>253</v>
      </c>
      <c r="C325" s="236" t="s">
        <v>370</v>
      </c>
      <c r="D325" s="7"/>
      <c r="E325" s="7">
        <v>39235</v>
      </c>
      <c r="F325" s="7">
        <v>0</v>
      </c>
      <c r="G325" s="7">
        <v>0</v>
      </c>
      <c r="H325" s="7">
        <v>8500</v>
      </c>
      <c r="I325" s="7">
        <v>0</v>
      </c>
      <c r="J325" s="7">
        <v>0</v>
      </c>
      <c r="K325" s="7">
        <v>22260</v>
      </c>
      <c r="L325" s="7">
        <v>4000</v>
      </c>
      <c r="M325" s="7"/>
      <c r="N325" s="7">
        <f t="shared" si="45"/>
        <v>26260</v>
      </c>
      <c r="O325" s="7">
        <v>0</v>
      </c>
      <c r="P325" s="20">
        <f t="shared" si="46"/>
        <v>26260</v>
      </c>
      <c r="Q325" s="20">
        <v>0</v>
      </c>
    </row>
    <row r="326" spans="1:17" s="168" customFormat="1" ht="16.5" customHeight="1">
      <c r="A326" s="13"/>
      <c r="B326" s="24" t="s">
        <v>107</v>
      </c>
      <c r="C326" s="236" t="s">
        <v>526</v>
      </c>
      <c r="D326" s="7"/>
      <c r="E326" s="7"/>
      <c r="F326" s="7"/>
      <c r="G326" s="7"/>
      <c r="H326" s="7"/>
      <c r="I326" s="7"/>
      <c r="J326" s="7"/>
      <c r="K326" s="7">
        <v>1908</v>
      </c>
      <c r="L326" s="7"/>
      <c r="M326" s="7"/>
      <c r="N326" s="7">
        <f t="shared" si="45"/>
        <v>1908</v>
      </c>
      <c r="O326" s="7">
        <v>0</v>
      </c>
      <c r="P326" s="20">
        <f t="shared" si="46"/>
        <v>1908</v>
      </c>
      <c r="Q326" s="20">
        <v>0</v>
      </c>
    </row>
    <row r="327" spans="1:17" s="168" customFormat="1" ht="16.5" customHeight="1">
      <c r="A327" s="13"/>
      <c r="B327" s="24" t="s">
        <v>255</v>
      </c>
      <c r="C327" s="236" t="s">
        <v>256</v>
      </c>
      <c r="D327" s="7"/>
      <c r="E327" s="7">
        <v>2500</v>
      </c>
      <c r="F327" s="7">
        <v>0</v>
      </c>
      <c r="G327" s="7">
        <v>0</v>
      </c>
      <c r="H327" s="7">
        <v>500</v>
      </c>
      <c r="I327" s="7">
        <v>0</v>
      </c>
      <c r="J327" s="7">
        <v>0</v>
      </c>
      <c r="K327" s="7">
        <v>2300</v>
      </c>
      <c r="L327" s="7">
        <v>1000</v>
      </c>
      <c r="M327" s="7"/>
      <c r="N327" s="7">
        <f t="shared" si="45"/>
        <v>3300</v>
      </c>
      <c r="O327" s="7">
        <v>0</v>
      </c>
      <c r="P327" s="20">
        <f t="shared" si="46"/>
        <v>3300</v>
      </c>
      <c r="Q327" s="20">
        <v>0</v>
      </c>
    </row>
    <row r="328" spans="1:17" s="168" customFormat="1" ht="16.5" customHeight="1">
      <c r="A328" s="13"/>
      <c r="B328" s="24" t="s">
        <v>257</v>
      </c>
      <c r="C328" s="236" t="s">
        <v>258</v>
      </c>
      <c r="D328" s="7"/>
      <c r="E328" s="7">
        <v>3300</v>
      </c>
      <c r="F328" s="7">
        <v>0</v>
      </c>
      <c r="G328" s="7">
        <v>0</v>
      </c>
      <c r="H328" s="7">
        <v>700</v>
      </c>
      <c r="I328" s="7">
        <v>0</v>
      </c>
      <c r="J328" s="7">
        <v>0</v>
      </c>
      <c r="K328" s="7">
        <v>720</v>
      </c>
      <c r="L328" s="7"/>
      <c r="M328" s="7"/>
      <c r="N328" s="7">
        <f t="shared" si="45"/>
        <v>720</v>
      </c>
      <c r="O328" s="7">
        <v>0</v>
      </c>
      <c r="P328" s="20">
        <f t="shared" si="46"/>
        <v>720</v>
      </c>
      <c r="Q328" s="20">
        <v>0</v>
      </c>
    </row>
    <row r="329" spans="1:17" s="168" customFormat="1" ht="14.25" customHeight="1">
      <c r="A329" s="13"/>
      <c r="B329" s="24" t="s">
        <v>259</v>
      </c>
      <c r="C329" s="236" t="s">
        <v>260</v>
      </c>
      <c r="D329" s="7"/>
      <c r="E329" s="7">
        <v>50719</v>
      </c>
      <c r="F329" s="7">
        <v>0</v>
      </c>
      <c r="G329" s="7">
        <v>0</v>
      </c>
      <c r="H329" s="7">
        <v>14000</v>
      </c>
      <c r="I329" s="7">
        <v>0</v>
      </c>
      <c r="J329" s="7">
        <v>0</v>
      </c>
      <c r="K329" s="7">
        <v>31130</v>
      </c>
      <c r="L329" s="7">
        <v>0</v>
      </c>
      <c r="M329" s="7"/>
      <c r="N329" s="7">
        <f t="shared" si="45"/>
        <v>31130</v>
      </c>
      <c r="O329" s="7">
        <v>0</v>
      </c>
      <c r="P329" s="20">
        <f t="shared" si="46"/>
        <v>31130</v>
      </c>
      <c r="Q329" s="20">
        <v>0</v>
      </c>
    </row>
    <row r="330" spans="1:17" s="168" customFormat="1" ht="21.75" customHeight="1">
      <c r="A330" s="13"/>
      <c r="B330" s="24" t="s">
        <v>433</v>
      </c>
      <c r="C330" s="260" t="s">
        <v>659</v>
      </c>
      <c r="D330" s="7"/>
      <c r="E330" s="7"/>
      <c r="F330" s="7"/>
      <c r="G330" s="7"/>
      <c r="H330" s="7"/>
      <c r="I330" s="7"/>
      <c r="J330" s="7"/>
      <c r="K330" s="7">
        <v>318191</v>
      </c>
      <c r="L330" s="7">
        <v>0</v>
      </c>
      <c r="M330" s="7"/>
      <c r="N330" s="7">
        <f t="shared" si="45"/>
        <v>318191</v>
      </c>
      <c r="O330" s="7">
        <v>0</v>
      </c>
      <c r="P330" s="20">
        <v>0</v>
      </c>
      <c r="Q330" s="20">
        <f>N330</f>
        <v>318191</v>
      </c>
    </row>
    <row r="331" spans="1:17" s="168" customFormat="1" ht="15.75" customHeight="1">
      <c r="A331" s="181" t="s">
        <v>378</v>
      </c>
      <c r="B331" s="181"/>
      <c r="C331" s="182" t="s">
        <v>458</v>
      </c>
      <c r="D331" s="154">
        <f>D332+D333+D334+D335</f>
        <v>722000</v>
      </c>
      <c r="E331" s="154" t="e">
        <f>E332+E333+E334+E335+#REF!+E342+E336+E337+E338+E339+#REF!+E341+#REF!+E343+E344+E345</f>
        <v>#REF!</v>
      </c>
      <c r="F331" s="154" t="e">
        <f>F332+F333+F334+F335+#REF!+F342+F336+F337+F338+F339+#REF!+F341+#REF!+F343+F344+F345</f>
        <v>#REF!</v>
      </c>
      <c r="G331" s="154" t="e">
        <f>G332+G333+G334+G335+#REF!+G342+G336+G337+G338+G339+#REF!+G341+#REF!+G343+G344+G345</f>
        <v>#REF!</v>
      </c>
      <c r="H331" s="154" t="e">
        <f>H332+H333+H334+H335+#REF!+H342+H336+H337+H338+H339+H341+#REF!+H343+H344+H345+H346+H340</f>
        <v>#REF!</v>
      </c>
      <c r="I331" s="154" t="e">
        <f>I332+I333+I334+I335+#REF!+I342+I336+I337+I338+I339+I341+#REF!+I343+I344+I345+I346+I340</f>
        <v>#REF!</v>
      </c>
      <c r="J331" s="154" t="e">
        <f>J332+J333+J334+J335+#REF!+J342+J336+J337+J338+J339+J341+#REF!+J343+J344+J345+J346+J340</f>
        <v>#REF!</v>
      </c>
      <c r="K331" s="154">
        <f>SUM(K332:K346)</f>
        <v>918036</v>
      </c>
      <c r="L331" s="154">
        <f>SUM(L332:L346)</f>
        <v>0</v>
      </c>
      <c r="M331" s="154">
        <f>SUM(M332:M346)</f>
        <v>0</v>
      </c>
      <c r="N331" s="154">
        <f t="shared" si="45"/>
        <v>918036</v>
      </c>
      <c r="O331" s="154">
        <f>SUM(O332:O346)</f>
        <v>0</v>
      </c>
      <c r="P331" s="154">
        <f>SUM(P332:P346)</f>
        <v>918036</v>
      </c>
      <c r="Q331" s="154">
        <f>SUM(Q332:Q346)</f>
        <v>0</v>
      </c>
    </row>
    <row r="332" spans="1:17" s="168" customFormat="1" ht="18.75" customHeight="1">
      <c r="A332" s="19"/>
      <c r="B332" s="24" t="s">
        <v>237</v>
      </c>
      <c r="C332" s="282" t="s">
        <v>238</v>
      </c>
      <c r="D332" s="7">
        <v>365300</v>
      </c>
      <c r="E332" s="7">
        <v>330000</v>
      </c>
      <c r="F332" s="7">
        <v>17400</v>
      </c>
      <c r="G332" s="7">
        <v>0</v>
      </c>
      <c r="H332" s="7">
        <v>350982</v>
      </c>
      <c r="I332" s="7">
        <v>0</v>
      </c>
      <c r="J332" s="7">
        <v>0</v>
      </c>
      <c r="K332" s="7">
        <v>393290</v>
      </c>
      <c r="L332" s="7"/>
      <c r="M332" s="7"/>
      <c r="N332" s="7">
        <f t="shared" si="45"/>
        <v>393290</v>
      </c>
      <c r="O332" s="7">
        <v>0</v>
      </c>
      <c r="P332" s="20">
        <f>N332</f>
        <v>393290</v>
      </c>
      <c r="Q332" s="20">
        <v>0</v>
      </c>
    </row>
    <row r="333" spans="1:17" s="168" customFormat="1" ht="18" customHeight="1">
      <c r="A333" s="19"/>
      <c r="B333" s="24" t="s">
        <v>241</v>
      </c>
      <c r="C333" s="282" t="s">
        <v>242</v>
      </c>
      <c r="D333" s="7">
        <v>30580</v>
      </c>
      <c r="E333" s="7">
        <v>31050</v>
      </c>
      <c r="F333" s="7">
        <v>0</v>
      </c>
      <c r="G333" s="7">
        <v>0</v>
      </c>
      <c r="H333" s="7">
        <v>23796</v>
      </c>
      <c r="I333" s="7">
        <v>0</v>
      </c>
      <c r="J333" s="7">
        <v>0</v>
      </c>
      <c r="K333" s="7">
        <v>30088</v>
      </c>
      <c r="L333" s="7"/>
      <c r="M333" s="7">
        <v>0</v>
      </c>
      <c r="N333" s="7">
        <f t="shared" si="45"/>
        <v>30088</v>
      </c>
      <c r="O333" s="7">
        <v>0</v>
      </c>
      <c r="P333" s="20">
        <f aca="true" t="shared" si="47" ref="P333:P346">N333</f>
        <v>30088</v>
      </c>
      <c r="Q333" s="20">
        <v>0</v>
      </c>
    </row>
    <row r="334" spans="1:17" s="168" customFormat="1" ht="17.25" customHeight="1">
      <c r="A334" s="19"/>
      <c r="B334" s="21" t="s">
        <v>299</v>
      </c>
      <c r="C334" s="282" t="s">
        <v>313</v>
      </c>
      <c r="D334" s="7">
        <v>77860</v>
      </c>
      <c r="E334" s="7">
        <v>64495</v>
      </c>
      <c r="F334" s="7">
        <v>0</v>
      </c>
      <c r="G334" s="7">
        <v>0</v>
      </c>
      <c r="H334" s="7">
        <v>73896</v>
      </c>
      <c r="I334" s="7">
        <v>0</v>
      </c>
      <c r="J334" s="7">
        <v>0</v>
      </c>
      <c r="K334" s="7">
        <v>68809</v>
      </c>
      <c r="L334" s="7"/>
      <c r="M334" s="7">
        <v>0</v>
      </c>
      <c r="N334" s="7">
        <f t="shared" si="45"/>
        <v>68809</v>
      </c>
      <c r="O334" s="7">
        <v>0</v>
      </c>
      <c r="P334" s="20">
        <f t="shared" si="47"/>
        <v>68809</v>
      </c>
      <c r="Q334" s="20">
        <v>0</v>
      </c>
    </row>
    <row r="335" spans="1:17" s="168" customFormat="1" ht="18" customHeight="1">
      <c r="A335" s="19"/>
      <c r="B335" s="24" t="s">
        <v>245</v>
      </c>
      <c r="C335" s="236" t="s">
        <v>246</v>
      </c>
      <c r="D335" s="7">
        <v>248260</v>
      </c>
      <c r="E335" s="7">
        <v>8850</v>
      </c>
      <c r="F335" s="7">
        <v>0</v>
      </c>
      <c r="G335" s="7">
        <v>0</v>
      </c>
      <c r="H335" s="7">
        <v>9182</v>
      </c>
      <c r="I335" s="7">
        <v>0</v>
      </c>
      <c r="J335" s="7">
        <v>0</v>
      </c>
      <c r="K335" s="7">
        <v>9510</v>
      </c>
      <c r="L335" s="7"/>
      <c r="M335" s="7">
        <v>0</v>
      </c>
      <c r="N335" s="7">
        <f t="shared" si="45"/>
        <v>9510</v>
      </c>
      <c r="O335" s="7">
        <v>0</v>
      </c>
      <c r="P335" s="20">
        <f t="shared" si="47"/>
        <v>9510</v>
      </c>
      <c r="Q335" s="20">
        <v>0</v>
      </c>
    </row>
    <row r="336" spans="1:17" s="168" customFormat="1" ht="19.5" customHeight="1">
      <c r="A336" s="19"/>
      <c r="B336" s="24" t="s">
        <v>247</v>
      </c>
      <c r="C336" s="236" t="s">
        <v>414</v>
      </c>
      <c r="D336" s="7"/>
      <c r="E336" s="7">
        <v>6795</v>
      </c>
      <c r="F336" s="7">
        <v>474</v>
      </c>
      <c r="G336" s="7">
        <v>0</v>
      </c>
      <c r="H336" s="16">
        <v>21937</v>
      </c>
      <c r="I336" s="7">
        <v>0</v>
      </c>
      <c r="J336" s="7">
        <v>0</v>
      </c>
      <c r="K336" s="7">
        <v>72397</v>
      </c>
      <c r="L336" s="7">
        <v>0</v>
      </c>
      <c r="M336" s="7"/>
      <c r="N336" s="7">
        <f t="shared" si="45"/>
        <v>72397</v>
      </c>
      <c r="O336" s="7">
        <v>0</v>
      </c>
      <c r="P336" s="20">
        <f t="shared" si="47"/>
        <v>72397</v>
      </c>
      <c r="Q336" s="20">
        <v>0</v>
      </c>
    </row>
    <row r="337" spans="1:17" s="168" customFormat="1" ht="17.25" customHeight="1">
      <c r="A337" s="19"/>
      <c r="B337" s="24" t="s">
        <v>364</v>
      </c>
      <c r="C337" s="236" t="s">
        <v>456</v>
      </c>
      <c r="D337" s="7"/>
      <c r="E337" s="7">
        <v>40000</v>
      </c>
      <c r="F337" s="7">
        <v>10000</v>
      </c>
      <c r="G337" s="7">
        <v>0</v>
      </c>
      <c r="H337" s="16">
        <v>76000</v>
      </c>
      <c r="I337" s="7">
        <v>0</v>
      </c>
      <c r="J337" s="7">
        <v>0</v>
      </c>
      <c r="K337" s="7">
        <v>1000</v>
      </c>
      <c r="L337" s="7"/>
      <c r="M337" s="7"/>
      <c r="N337" s="7">
        <f t="shared" si="45"/>
        <v>1000</v>
      </c>
      <c r="O337" s="7">
        <v>0</v>
      </c>
      <c r="P337" s="20">
        <f t="shared" si="47"/>
        <v>1000</v>
      </c>
      <c r="Q337" s="20">
        <v>0</v>
      </c>
    </row>
    <row r="338" spans="1:17" s="168" customFormat="1" ht="15.75" customHeight="1">
      <c r="A338" s="19"/>
      <c r="B338" s="24" t="s">
        <v>459</v>
      </c>
      <c r="C338" s="236" t="s">
        <v>460</v>
      </c>
      <c r="D338" s="7"/>
      <c r="E338" s="7">
        <v>4000</v>
      </c>
      <c r="F338" s="7">
        <v>0</v>
      </c>
      <c r="G338" s="7">
        <v>0</v>
      </c>
      <c r="H338" s="16">
        <v>5800</v>
      </c>
      <c r="I338" s="7">
        <v>0</v>
      </c>
      <c r="J338" s="7">
        <v>0</v>
      </c>
      <c r="K338" s="7">
        <v>7500</v>
      </c>
      <c r="L338" s="7"/>
      <c r="M338" s="7"/>
      <c r="N338" s="7">
        <f t="shared" si="45"/>
        <v>7500</v>
      </c>
      <c r="O338" s="7">
        <v>0</v>
      </c>
      <c r="P338" s="20">
        <f t="shared" si="47"/>
        <v>7500</v>
      </c>
      <c r="Q338" s="20">
        <v>0</v>
      </c>
    </row>
    <row r="339" spans="1:17" s="168" customFormat="1" ht="18.75" customHeight="1">
      <c r="A339" s="19"/>
      <c r="B339" s="24" t="s">
        <v>249</v>
      </c>
      <c r="C339" s="236" t="s">
        <v>368</v>
      </c>
      <c r="D339" s="7"/>
      <c r="E339" s="7">
        <v>62480</v>
      </c>
      <c r="F339" s="7">
        <v>4000</v>
      </c>
      <c r="G339" s="7">
        <v>0</v>
      </c>
      <c r="H339" s="16">
        <v>89314</v>
      </c>
      <c r="I339" s="7">
        <v>0</v>
      </c>
      <c r="J339" s="7">
        <v>0</v>
      </c>
      <c r="K339" s="7">
        <v>46340</v>
      </c>
      <c r="L339" s="7"/>
      <c r="M339" s="7"/>
      <c r="N339" s="7">
        <f t="shared" si="45"/>
        <v>46340</v>
      </c>
      <c r="O339" s="7">
        <v>0</v>
      </c>
      <c r="P339" s="20">
        <f t="shared" si="47"/>
        <v>46340</v>
      </c>
      <c r="Q339" s="20">
        <v>0</v>
      </c>
    </row>
    <row r="340" spans="1:17" s="168" customFormat="1" ht="17.25" customHeight="1">
      <c r="A340" s="19"/>
      <c r="B340" s="24" t="s">
        <v>107</v>
      </c>
      <c r="C340" s="236" t="s">
        <v>108</v>
      </c>
      <c r="D340" s="7"/>
      <c r="E340" s="7"/>
      <c r="F340" s="7"/>
      <c r="G340" s="7"/>
      <c r="H340" s="16">
        <v>7119</v>
      </c>
      <c r="I340" s="7">
        <v>0</v>
      </c>
      <c r="J340" s="7">
        <v>0</v>
      </c>
      <c r="K340" s="7">
        <v>500</v>
      </c>
      <c r="L340" s="7"/>
      <c r="M340" s="7"/>
      <c r="N340" s="7">
        <f t="shared" si="45"/>
        <v>500</v>
      </c>
      <c r="O340" s="7">
        <v>0</v>
      </c>
      <c r="P340" s="20">
        <f t="shared" si="47"/>
        <v>500</v>
      </c>
      <c r="Q340" s="20">
        <v>0</v>
      </c>
    </row>
    <row r="341" spans="1:17" s="168" customFormat="1" ht="17.25" customHeight="1">
      <c r="A341" s="19"/>
      <c r="B341" s="24" t="s">
        <v>253</v>
      </c>
      <c r="C341" s="236" t="s">
        <v>370</v>
      </c>
      <c r="D341" s="7"/>
      <c r="E341" s="7">
        <v>5000</v>
      </c>
      <c r="F341" s="7">
        <v>0</v>
      </c>
      <c r="G341" s="7">
        <v>0</v>
      </c>
      <c r="H341" s="16">
        <v>32500</v>
      </c>
      <c r="I341" s="7">
        <v>0</v>
      </c>
      <c r="J341" s="7">
        <v>0</v>
      </c>
      <c r="K341" s="7">
        <v>155650</v>
      </c>
      <c r="L341" s="7"/>
      <c r="M341" s="7"/>
      <c r="N341" s="7">
        <f t="shared" si="45"/>
        <v>155650</v>
      </c>
      <c r="O341" s="7">
        <v>0</v>
      </c>
      <c r="P341" s="20">
        <f t="shared" si="47"/>
        <v>155650</v>
      </c>
      <c r="Q341" s="20">
        <v>0</v>
      </c>
    </row>
    <row r="342" spans="1:17" s="168" customFormat="1" ht="15.75" customHeight="1">
      <c r="A342" s="19"/>
      <c r="B342" s="24" t="s">
        <v>255</v>
      </c>
      <c r="C342" s="236" t="s">
        <v>256</v>
      </c>
      <c r="D342" s="7"/>
      <c r="E342" s="7">
        <v>1000</v>
      </c>
      <c r="F342" s="7">
        <v>0</v>
      </c>
      <c r="G342" s="7">
        <v>0</v>
      </c>
      <c r="H342" s="16">
        <v>1050</v>
      </c>
      <c r="I342" s="7">
        <v>0</v>
      </c>
      <c r="J342" s="7">
        <v>0</v>
      </c>
      <c r="K342" s="7">
        <v>800</v>
      </c>
      <c r="L342" s="7"/>
      <c r="M342" s="7"/>
      <c r="N342" s="7">
        <f t="shared" si="45"/>
        <v>800</v>
      </c>
      <c r="O342" s="7">
        <v>0</v>
      </c>
      <c r="P342" s="20">
        <f t="shared" si="47"/>
        <v>800</v>
      </c>
      <c r="Q342" s="20">
        <v>0</v>
      </c>
    </row>
    <row r="343" spans="1:17" s="168" customFormat="1" ht="17.25" customHeight="1">
      <c r="A343" s="19"/>
      <c r="B343" s="24" t="s">
        <v>259</v>
      </c>
      <c r="C343" s="236" t="s">
        <v>260</v>
      </c>
      <c r="D343" s="7"/>
      <c r="E343" s="7">
        <v>13110</v>
      </c>
      <c r="F343" s="7">
        <v>0</v>
      </c>
      <c r="G343" s="7">
        <v>0</v>
      </c>
      <c r="H343" s="7">
        <v>14000</v>
      </c>
      <c r="I343" s="7">
        <v>0</v>
      </c>
      <c r="J343" s="7">
        <v>0</v>
      </c>
      <c r="K343" s="7">
        <v>16941</v>
      </c>
      <c r="L343" s="7">
        <v>0</v>
      </c>
      <c r="M343" s="7"/>
      <c r="N343" s="7">
        <f t="shared" si="45"/>
        <v>16941</v>
      </c>
      <c r="O343" s="7">
        <v>0</v>
      </c>
      <c r="P343" s="20">
        <f t="shared" si="47"/>
        <v>16941</v>
      </c>
      <c r="Q343" s="20">
        <v>0</v>
      </c>
    </row>
    <row r="344" spans="1:17" s="168" customFormat="1" ht="18" customHeight="1">
      <c r="A344" s="19"/>
      <c r="B344" s="24" t="s">
        <v>275</v>
      </c>
      <c r="C344" s="236" t="s">
        <v>276</v>
      </c>
      <c r="D344" s="7"/>
      <c r="E344" s="7">
        <v>1000</v>
      </c>
      <c r="F344" s="7">
        <v>0</v>
      </c>
      <c r="G344" s="7">
        <v>60</v>
      </c>
      <c r="H344" s="7">
        <v>1896</v>
      </c>
      <c r="I344" s="7">
        <v>0</v>
      </c>
      <c r="J344" s="7">
        <v>0</v>
      </c>
      <c r="K344" s="7">
        <v>2372</v>
      </c>
      <c r="L344" s="7"/>
      <c r="M344" s="7">
        <v>0</v>
      </c>
      <c r="N344" s="7">
        <f t="shared" si="45"/>
        <v>2372</v>
      </c>
      <c r="O344" s="7">
        <v>0</v>
      </c>
      <c r="P344" s="20">
        <f t="shared" si="47"/>
        <v>2372</v>
      </c>
      <c r="Q344" s="20">
        <v>0</v>
      </c>
    </row>
    <row r="345" spans="1:17" s="168" customFormat="1" ht="18.75" customHeight="1">
      <c r="A345" s="19"/>
      <c r="B345" s="24" t="s">
        <v>373</v>
      </c>
      <c r="C345" s="236" t="s">
        <v>374</v>
      </c>
      <c r="D345" s="7"/>
      <c r="E345" s="7">
        <v>500</v>
      </c>
      <c r="F345" s="7">
        <v>0</v>
      </c>
      <c r="G345" s="7">
        <v>70</v>
      </c>
      <c r="H345" s="7">
        <v>427</v>
      </c>
      <c r="I345" s="7">
        <v>0</v>
      </c>
      <c r="J345" s="7">
        <v>0</v>
      </c>
      <c r="K345" s="7">
        <v>426</v>
      </c>
      <c r="L345" s="7"/>
      <c r="M345" s="7"/>
      <c r="N345" s="7">
        <f t="shared" si="45"/>
        <v>426</v>
      </c>
      <c r="O345" s="7">
        <v>0</v>
      </c>
      <c r="P345" s="20">
        <f t="shared" si="47"/>
        <v>426</v>
      </c>
      <c r="Q345" s="20">
        <v>0</v>
      </c>
    </row>
    <row r="346" spans="1:17" s="168" customFormat="1" ht="18.75" customHeight="1">
      <c r="A346" s="19"/>
      <c r="B346" s="24" t="s">
        <v>277</v>
      </c>
      <c r="C346" s="236" t="s">
        <v>162</v>
      </c>
      <c r="D346" s="7"/>
      <c r="E346" s="7"/>
      <c r="F346" s="7"/>
      <c r="G346" s="7"/>
      <c r="H346" s="7">
        <v>126026</v>
      </c>
      <c r="I346" s="7">
        <v>0</v>
      </c>
      <c r="J346" s="7">
        <v>0</v>
      </c>
      <c r="K346" s="7">
        <v>112413</v>
      </c>
      <c r="L346" s="7">
        <v>0</v>
      </c>
      <c r="M346" s="7"/>
      <c r="N346" s="7">
        <f t="shared" si="45"/>
        <v>112413</v>
      </c>
      <c r="O346" s="7">
        <v>0</v>
      </c>
      <c r="P346" s="20">
        <f t="shared" si="47"/>
        <v>112413</v>
      </c>
      <c r="Q346" s="20">
        <v>0</v>
      </c>
    </row>
    <row r="347" spans="1:17" s="168" customFormat="1" ht="15.75" customHeight="1">
      <c r="A347" s="183" t="s">
        <v>383</v>
      </c>
      <c r="B347" s="290"/>
      <c r="C347" s="182" t="s">
        <v>461</v>
      </c>
      <c r="D347" s="154">
        <f>D350</f>
        <v>1308000</v>
      </c>
      <c r="E347" s="154">
        <f>E350</f>
        <v>1138000</v>
      </c>
      <c r="F347" s="154">
        <f>F350</f>
        <v>0</v>
      </c>
      <c r="G347" s="154">
        <f>G350</f>
        <v>0</v>
      </c>
      <c r="H347" s="154">
        <f>H350+H351</f>
        <v>744716</v>
      </c>
      <c r="I347" s="154">
        <f>I350+I351</f>
        <v>0</v>
      </c>
      <c r="J347" s="154">
        <f>J350+J351</f>
        <v>0</v>
      </c>
      <c r="K347" s="154">
        <f>K348+K349+K350+K351</f>
        <v>957108</v>
      </c>
      <c r="L347" s="154">
        <f>L348+L349+L350+L351</f>
        <v>0</v>
      </c>
      <c r="M347" s="154">
        <f>M348+M349+M350+M351</f>
        <v>0</v>
      </c>
      <c r="N347" s="154">
        <f t="shared" si="45"/>
        <v>957108</v>
      </c>
      <c r="O347" s="154">
        <f>O348+O349+O350+O351</f>
        <v>0</v>
      </c>
      <c r="P347" s="154">
        <f>P348+P349+P350+P351</f>
        <v>927860</v>
      </c>
      <c r="Q347" s="154">
        <f>Q348+Q349+Q350+Q351</f>
        <v>29248</v>
      </c>
    </row>
    <row r="348" spans="1:17" s="168" customFormat="1" ht="15.75" customHeight="1">
      <c r="A348" s="22"/>
      <c r="B348" s="24" t="s">
        <v>305</v>
      </c>
      <c r="C348" s="282" t="s">
        <v>671</v>
      </c>
      <c r="D348" s="6"/>
      <c r="E348" s="6"/>
      <c r="F348" s="6"/>
      <c r="G348" s="6"/>
      <c r="H348" s="6"/>
      <c r="I348" s="6"/>
      <c r="J348" s="6"/>
      <c r="K348" s="16">
        <v>14324</v>
      </c>
      <c r="L348" s="16">
        <v>0</v>
      </c>
      <c r="M348" s="6"/>
      <c r="N348" s="7">
        <f t="shared" si="45"/>
        <v>14324</v>
      </c>
      <c r="O348" s="16">
        <v>0</v>
      </c>
      <c r="P348" s="16">
        <v>0</v>
      </c>
      <c r="Q348" s="16">
        <f>N348</f>
        <v>14324</v>
      </c>
    </row>
    <row r="349" spans="1:17" s="168" customFormat="1" ht="15.75" customHeight="1">
      <c r="A349" s="22"/>
      <c r="B349" s="24" t="s">
        <v>433</v>
      </c>
      <c r="C349" s="282" t="s">
        <v>672</v>
      </c>
      <c r="D349" s="6"/>
      <c r="E349" s="6"/>
      <c r="F349" s="6"/>
      <c r="G349" s="6"/>
      <c r="H349" s="6"/>
      <c r="I349" s="6"/>
      <c r="J349" s="6"/>
      <c r="K349" s="16">
        <v>14924</v>
      </c>
      <c r="L349" s="16">
        <v>0</v>
      </c>
      <c r="M349" s="6"/>
      <c r="N349" s="7">
        <f t="shared" si="45"/>
        <v>14924</v>
      </c>
      <c r="O349" s="16">
        <v>0</v>
      </c>
      <c r="P349" s="16">
        <v>0</v>
      </c>
      <c r="Q349" s="16">
        <f>N349</f>
        <v>14924</v>
      </c>
    </row>
    <row r="350" spans="1:17" s="168" customFormat="1" ht="13.5" customHeight="1">
      <c r="A350" s="22"/>
      <c r="B350" s="24" t="s">
        <v>454</v>
      </c>
      <c r="C350" s="282" t="s">
        <v>455</v>
      </c>
      <c r="D350" s="16">
        <v>1308000</v>
      </c>
      <c r="E350" s="16">
        <v>1138000</v>
      </c>
      <c r="F350" s="16">
        <v>0</v>
      </c>
      <c r="G350" s="16">
        <v>0</v>
      </c>
      <c r="H350" s="7">
        <v>728506</v>
      </c>
      <c r="I350" s="7">
        <v>0</v>
      </c>
      <c r="J350" s="7">
        <v>0</v>
      </c>
      <c r="K350" s="7">
        <v>911650</v>
      </c>
      <c r="L350" s="7"/>
      <c r="M350" s="7">
        <v>0</v>
      </c>
      <c r="N350" s="7">
        <f t="shared" si="45"/>
        <v>911650</v>
      </c>
      <c r="O350" s="16">
        <v>0</v>
      </c>
      <c r="P350" s="17">
        <f>N350</f>
        <v>911650</v>
      </c>
      <c r="Q350" s="17">
        <v>0</v>
      </c>
    </row>
    <row r="351" spans="1:17" s="168" customFormat="1" ht="16.5" customHeight="1">
      <c r="A351" s="22"/>
      <c r="B351" s="24" t="s">
        <v>247</v>
      </c>
      <c r="C351" s="282" t="s">
        <v>274</v>
      </c>
      <c r="D351" s="16"/>
      <c r="E351" s="16"/>
      <c r="F351" s="16"/>
      <c r="G351" s="16"/>
      <c r="H351" s="7">
        <v>16210</v>
      </c>
      <c r="I351" s="7">
        <v>0</v>
      </c>
      <c r="J351" s="7">
        <v>0</v>
      </c>
      <c r="K351" s="7">
        <v>16210</v>
      </c>
      <c r="L351" s="7"/>
      <c r="M351" s="7"/>
      <c r="N351" s="7">
        <f t="shared" si="45"/>
        <v>16210</v>
      </c>
      <c r="O351" s="16">
        <v>0</v>
      </c>
      <c r="P351" s="17">
        <f>N351</f>
        <v>16210</v>
      </c>
      <c r="Q351" s="17">
        <v>0</v>
      </c>
    </row>
    <row r="352" spans="1:17" s="168" customFormat="1" ht="24.75" customHeight="1">
      <c r="A352" s="183" t="s">
        <v>379</v>
      </c>
      <c r="B352" s="290"/>
      <c r="C352" s="182" t="s">
        <v>463</v>
      </c>
      <c r="D352" s="154" t="e">
        <f>D353+D354+D355+#REF!</f>
        <v>#REF!</v>
      </c>
      <c r="E352" s="154" t="e">
        <f>E353+E354+E355+E356+#REF!+E358+E359+E360+E362+E364</f>
        <v>#REF!</v>
      </c>
      <c r="F352" s="154" t="e">
        <f>F353+F354+F355+F356+#REF!+F358+F359+F360+F362+F364</f>
        <v>#REF!</v>
      </c>
      <c r="G352" s="154" t="e">
        <f>G353+G354+G355+G356+#REF!+G358+G359+G360+G362+G364</f>
        <v>#REF!</v>
      </c>
      <c r="H352" s="154">
        <f>H353+H354+H355+H356+H358+H359+H360+H362+H364</f>
        <v>132083</v>
      </c>
      <c r="I352" s="154">
        <f>I353+I354+I355+I356+I358+I359+I360+I362+I364</f>
        <v>0</v>
      </c>
      <c r="J352" s="154">
        <f>J353+J354+J355+J356+J358+J359+J360+J362+J364</f>
        <v>0</v>
      </c>
      <c r="K352" s="154">
        <f>K353+K354+K355+K356+K357+K358+K359+K360+K361+K362+K363+K364</f>
        <v>227504</v>
      </c>
      <c r="L352" s="154">
        <f>L353+L354+L355+L356+L357+L358+L359+L360+L361+L362+L363+L364</f>
        <v>0</v>
      </c>
      <c r="M352" s="154">
        <f>M353+M354+M355+M356+M357+M358+M359+M360+M361+M362+M363+M364</f>
        <v>28882</v>
      </c>
      <c r="N352" s="154">
        <f t="shared" si="45"/>
        <v>198622</v>
      </c>
      <c r="O352" s="154">
        <f>O353+O354+O355+O356+O357+O358+O359+O360+O361+O362+O363+O364</f>
        <v>0</v>
      </c>
      <c r="P352" s="152">
        <f>P353+P354+P355+P356+P357+P358+P359+P360+P361+P362+P363+P364</f>
        <v>198622</v>
      </c>
      <c r="Q352" s="152">
        <f>Q353+Q354+Q355+Q356+Q357+Q358+Q359+Q360+Q361+Q362+Q363+Q364</f>
        <v>0</v>
      </c>
    </row>
    <row r="353" spans="1:17" s="168" customFormat="1" ht="17.25" customHeight="1">
      <c r="A353" s="583"/>
      <c r="B353" s="24" t="s">
        <v>237</v>
      </c>
      <c r="C353" s="282" t="s">
        <v>238</v>
      </c>
      <c r="D353" s="7">
        <v>85744</v>
      </c>
      <c r="E353" s="7">
        <v>121480</v>
      </c>
      <c r="F353" s="7">
        <v>0</v>
      </c>
      <c r="G353" s="7">
        <v>2671</v>
      </c>
      <c r="H353" s="7">
        <v>72999</v>
      </c>
      <c r="I353" s="7">
        <v>0</v>
      </c>
      <c r="J353" s="7">
        <v>0</v>
      </c>
      <c r="K353" s="7">
        <v>139675</v>
      </c>
      <c r="L353" s="7">
        <v>0</v>
      </c>
      <c r="M353" s="7">
        <v>16000</v>
      </c>
      <c r="N353" s="7">
        <f t="shared" si="45"/>
        <v>123675</v>
      </c>
      <c r="O353" s="7">
        <v>0</v>
      </c>
      <c r="P353" s="20">
        <f>N353-O353</f>
        <v>123675</v>
      </c>
      <c r="Q353" s="20">
        <v>0</v>
      </c>
    </row>
    <row r="354" spans="1:17" s="168" customFormat="1" ht="15" customHeight="1">
      <c r="A354" s="583"/>
      <c r="B354" s="14" t="s">
        <v>241</v>
      </c>
      <c r="C354" s="282" t="s">
        <v>242</v>
      </c>
      <c r="D354" s="7">
        <v>4800</v>
      </c>
      <c r="E354" s="7">
        <v>6578</v>
      </c>
      <c r="F354" s="7">
        <v>0</v>
      </c>
      <c r="G354" s="7">
        <v>0</v>
      </c>
      <c r="H354" s="16">
        <v>5710</v>
      </c>
      <c r="I354" s="7">
        <v>0</v>
      </c>
      <c r="J354" s="7">
        <v>0</v>
      </c>
      <c r="K354" s="7">
        <v>13837</v>
      </c>
      <c r="L354" s="7"/>
      <c r="M354" s="7">
        <v>0</v>
      </c>
      <c r="N354" s="7">
        <f t="shared" si="45"/>
        <v>13837</v>
      </c>
      <c r="O354" s="7">
        <v>0</v>
      </c>
      <c r="P354" s="20">
        <f aca="true" t="shared" si="48" ref="P354:P364">N354-O354</f>
        <v>13837</v>
      </c>
      <c r="Q354" s="20">
        <v>0</v>
      </c>
    </row>
    <row r="355" spans="1:17" s="168" customFormat="1" ht="14.25" customHeight="1">
      <c r="A355" s="583"/>
      <c r="B355" s="21" t="s">
        <v>299</v>
      </c>
      <c r="C355" s="282" t="s">
        <v>271</v>
      </c>
      <c r="D355" s="7">
        <v>18394</v>
      </c>
      <c r="E355" s="7">
        <v>22179</v>
      </c>
      <c r="F355" s="7">
        <v>0</v>
      </c>
      <c r="G355" s="7">
        <v>0</v>
      </c>
      <c r="H355" s="16">
        <v>14515</v>
      </c>
      <c r="I355" s="7">
        <v>0</v>
      </c>
      <c r="J355" s="7">
        <v>0</v>
      </c>
      <c r="K355" s="7">
        <v>26352</v>
      </c>
      <c r="L355" s="7"/>
      <c r="M355" s="7">
        <v>2890</v>
      </c>
      <c r="N355" s="7">
        <f t="shared" si="45"/>
        <v>23462</v>
      </c>
      <c r="O355" s="7">
        <v>0</v>
      </c>
      <c r="P355" s="20">
        <f t="shared" si="48"/>
        <v>23462</v>
      </c>
      <c r="Q355" s="20">
        <v>0</v>
      </c>
    </row>
    <row r="356" spans="1:17" s="168" customFormat="1" ht="15.75" customHeight="1">
      <c r="A356" s="583"/>
      <c r="B356" s="21" t="s">
        <v>245</v>
      </c>
      <c r="C356" s="282" t="s">
        <v>246</v>
      </c>
      <c r="D356" s="7"/>
      <c r="E356" s="7">
        <v>3039</v>
      </c>
      <c r="F356" s="7">
        <v>0</v>
      </c>
      <c r="G356" s="7">
        <v>0</v>
      </c>
      <c r="H356" s="16">
        <v>1927</v>
      </c>
      <c r="I356" s="7">
        <v>0</v>
      </c>
      <c r="J356" s="7">
        <v>0</v>
      </c>
      <c r="K356" s="7">
        <v>3549</v>
      </c>
      <c r="L356" s="7"/>
      <c r="M356" s="7">
        <v>392</v>
      </c>
      <c r="N356" s="7">
        <f t="shared" si="45"/>
        <v>3157</v>
      </c>
      <c r="O356" s="7">
        <v>0</v>
      </c>
      <c r="P356" s="20">
        <f t="shared" si="48"/>
        <v>3157</v>
      </c>
      <c r="Q356" s="20">
        <v>0</v>
      </c>
    </row>
    <row r="357" spans="1:17" s="168" customFormat="1" ht="17.25" customHeight="1">
      <c r="A357" s="19"/>
      <c r="B357" s="24" t="s">
        <v>92</v>
      </c>
      <c r="C357" s="236" t="s">
        <v>106</v>
      </c>
      <c r="D357" s="7"/>
      <c r="E357" s="7"/>
      <c r="F357" s="7"/>
      <c r="G357" s="7"/>
      <c r="H357" s="16"/>
      <c r="I357" s="7"/>
      <c r="J357" s="7"/>
      <c r="K357" s="7">
        <v>1000</v>
      </c>
      <c r="L357" s="7"/>
      <c r="M357" s="7"/>
      <c r="N357" s="7">
        <f t="shared" si="45"/>
        <v>1000</v>
      </c>
      <c r="O357" s="7">
        <v>0</v>
      </c>
      <c r="P357" s="20">
        <f t="shared" si="48"/>
        <v>1000</v>
      </c>
      <c r="Q357" s="20">
        <v>0</v>
      </c>
    </row>
    <row r="358" spans="1:17" s="168" customFormat="1" ht="14.25" customHeight="1">
      <c r="A358" s="19"/>
      <c r="B358" s="24" t="s">
        <v>247</v>
      </c>
      <c r="C358" s="236" t="s">
        <v>414</v>
      </c>
      <c r="D358" s="7"/>
      <c r="E358" s="7">
        <v>5070</v>
      </c>
      <c r="F358" s="7">
        <v>500</v>
      </c>
      <c r="G358" s="7">
        <v>0</v>
      </c>
      <c r="H358" s="16">
        <v>7461</v>
      </c>
      <c r="I358" s="7">
        <v>0</v>
      </c>
      <c r="J358" s="7">
        <v>0</v>
      </c>
      <c r="K358" s="7">
        <v>15210</v>
      </c>
      <c r="L358" s="7"/>
      <c r="M358" s="7">
        <v>6200</v>
      </c>
      <c r="N358" s="7">
        <f t="shared" si="45"/>
        <v>9010</v>
      </c>
      <c r="O358" s="7">
        <v>0</v>
      </c>
      <c r="P358" s="20">
        <f t="shared" si="48"/>
        <v>9010</v>
      </c>
      <c r="Q358" s="20">
        <v>0</v>
      </c>
    </row>
    <row r="359" spans="1:17" s="168" customFormat="1" ht="14.25" customHeight="1">
      <c r="A359" s="19"/>
      <c r="B359" s="24" t="s">
        <v>249</v>
      </c>
      <c r="C359" s="236" t="s">
        <v>368</v>
      </c>
      <c r="D359" s="7"/>
      <c r="E359" s="7">
        <v>3015</v>
      </c>
      <c r="F359" s="7">
        <v>500</v>
      </c>
      <c r="G359" s="7">
        <v>0</v>
      </c>
      <c r="H359" s="16">
        <v>6000</v>
      </c>
      <c r="I359" s="7">
        <v>0</v>
      </c>
      <c r="J359" s="7">
        <v>0</v>
      </c>
      <c r="K359" s="7">
        <v>11260</v>
      </c>
      <c r="L359" s="7"/>
      <c r="M359" s="7">
        <v>2500</v>
      </c>
      <c r="N359" s="7">
        <f aca="true" t="shared" si="49" ref="N359:N439">K359+L359-M359</f>
        <v>8760</v>
      </c>
      <c r="O359" s="7">
        <v>0</v>
      </c>
      <c r="P359" s="20">
        <f t="shared" si="48"/>
        <v>8760</v>
      </c>
      <c r="Q359" s="20">
        <v>0</v>
      </c>
    </row>
    <row r="360" spans="1:17" s="168" customFormat="1" ht="13.5" customHeight="1">
      <c r="A360" s="19"/>
      <c r="B360" s="24" t="s">
        <v>253</v>
      </c>
      <c r="C360" s="236" t="s">
        <v>370</v>
      </c>
      <c r="D360" s="7"/>
      <c r="E360" s="7">
        <v>19008</v>
      </c>
      <c r="F360" s="7">
        <v>2043</v>
      </c>
      <c r="G360" s="7">
        <v>0</v>
      </c>
      <c r="H360" s="7">
        <v>19291</v>
      </c>
      <c r="I360" s="7">
        <v>0</v>
      </c>
      <c r="J360" s="7">
        <v>0</v>
      </c>
      <c r="K360" s="7">
        <v>7432</v>
      </c>
      <c r="L360" s="7"/>
      <c r="M360" s="7">
        <v>0</v>
      </c>
      <c r="N360" s="7">
        <f t="shared" si="49"/>
        <v>7432</v>
      </c>
      <c r="O360" s="7">
        <v>0</v>
      </c>
      <c r="P360" s="20">
        <f t="shared" si="48"/>
        <v>7432</v>
      </c>
      <c r="Q360" s="20">
        <v>0</v>
      </c>
    </row>
    <row r="361" spans="1:17" s="168" customFormat="1" ht="14.25" customHeight="1">
      <c r="A361" s="19"/>
      <c r="B361" s="24" t="s">
        <v>107</v>
      </c>
      <c r="C361" s="236" t="s">
        <v>108</v>
      </c>
      <c r="D361" s="7"/>
      <c r="E361" s="7"/>
      <c r="F361" s="7"/>
      <c r="G361" s="7"/>
      <c r="H361" s="7"/>
      <c r="I361" s="7"/>
      <c r="J361" s="7"/>
      <c r="K361" s="7">
        <v>1449</v>
      </c>
      <c r="L361" s="7"/>
      <c r="M361" s="7">
        <v>900</v>
      </c>
      <c r="N361" s="7">
        <f t="shared" si="49"/>
        <v>549</v>
      </c>
      <c r="O361" s="7">
        <v>0</v>
      </c>
      <c r="P361" s="20">
        <f t="shared" si="48"/>
        <v>549</v>
      </c>
      <c r="Q361" s="20">
        <v>0</v>
      </c>
    </row>
    <row r="362" spans="1:17" s="168" customFormat="1" ht="13.5" customHeight="1">
      <c r="A362" s="19"/>
      <c r="B362" s="24" t="s">
        <v>255</v>
      </c>
      <c r="C362" s="236" t="s">
        <v>256</v>
      </c>
      <c r="D362" s="7"/>
      <c r="E362" s="7">
        <v>2618</v>
      </c>
      <c r="F362" s="7">
        <v>0</v>
      </c>
      <c r="G362" s="7">
        <v>0</v>
      </c>
      <c r="H362" s="7">
        <v>1000</v>
      </c>
      <c r="I362" s="7">
        <v>0</v>
      </c>
      <c r="J362" s="7">
        <v>0</v>
      </c>
      <c r="K362" s="7">
        <v>1200</v>
      </c>
      <c r="L362" s="7"/>
      <c r="M362" s="7"/>
      <c r="N362" s="7">
        <f t="shared" si="49"/>
        <v>1200</v>
      </c>
      <c r="O362" s="7">
        <v>0</v>
      </c>
      <c r="P362" s="20">
        <f t="shared" si="48"/>
        <v>1200</v>
      </c>
      <c r="Q362" s="20">
        <v>0</v>
      </c>
    </row>
    <row r="363" spans="1:17" s="168" customFormat="1" ht="15" customHeight="1">
      <c r="A363" s="19"/>
      <c r="B363" s="24" t="s">
        <v>117</v>
      </c>
      <c r="C363" s="236" t="s">
        <v>660</v>
      </c>
      <c r="D363" s="7"/>
      <c r="E363" s="7"/>
      <c r="F363" s="7"/>
      <c r="G363" s="7"/>
      <c r="H363" s="7"/>
      <c r="I363" s="7"/>
      <c r="J363" s="7"/>
      <c r="K363" s="7">
        <v>120</v>
      </c>
      <c r="L363" s="7"/>
      <c r="M363" s="7"/>
      <c r="N363" s="7">
        <f t="shared" si="49"/>
        <v>120</v>
      </c>
      <c r="O363" s="7">
        <v>0</v>
      </c>
      <c r="P363" s="20">
        <f t="shared" si="48"/>
        <v>120</v>
      </c>
      <c r="Q363" s="20">
        <v>0</v>
      </c>
    </row>
    <row r="364" spans="1:17" s="168" customFormat="1" ht="14.25" customHeight="1">
      <c r="A364" s="19"/>
      <c r="B364" s="24" t="s">
        <v>259</v>
      </c>
      <c r="C364" s="236" t="s">
        <v>260</v>
      </c>
      <c r="D364" s="7"/>
      <c r="E364" s="7">
        <v>1673</v>
      </c>
      <c r="F364" s="7">
        <v>2671</v>
      </c>
      <c r="G364" s="7">
        <v>0</v>
      </c>
      <c r="H364" s="7">
        <v>3180</v>
      </c>
      <c r="I364" s="7">
        <v>0</v>
      </c>
      <c r="J364" s="7">
        <v>0</v>
      </c>
      <c r="K364" s="7">
        <v>6420</v>
      </c>
      <c r="L364" s="7">
        <v>0</v>
      </c>
      <c r="M364" s="7"/>
      <c r="N364" s="7">
        <f t="shared" si="49"/>
        <v>6420</v>
      </c>
      <c r="O364" s="7">
        <v>0</v>
      </c>
      <c r="P364" s="20">
        <f t="shared" si="48"/>
        <v>6420</v>
      </c>
      <c r="Q364" s="20">
        <v>0</v>
      </c>
    </row>
    <row r="365" spans="1:17" s="167" customFormat="1" ht="33" customHeight="1">
      <c r="A365" s="183" t="s">
        <v>527</v>
      </c>
      <c r="B365" s="181"/>
      <c r="C365" s="193" t="s">
        <v>528</v>
      </c>
      <c r="D365" s="154"/>
      <c r="E365" s="154"/>
      <c r="F365" s="154"/>
      <c r="G365" s="154"/>
      <c r="H365" s="154"/>
      <c r="I365" s="154"/>
      <c r="J365" s="154"/>
      <c r="K365" s="154">
        <f>SUM(K366:K376)</f>
        <v>46168</v>
      </c>
      <c r="L365" s="154">
        <f>SUM(L366:L376)</f>
        <v>103882</v>
      </c>
      <c r="M365" s="154">
        <f>SUM(M366:M376)</f>
        <v>0</v>
      </c>
      <c r="N365" s="154">
        <f t="shared" si="49"/>
        <v>150050</v>
      </c>
      <c r="O365" s="154">
        <f>SUM(O366:O376)</f>
        <v>0</v>
      </c>
      <c r="P365" s="154">
        <f>SUM(P366:P376)</f>
        <v>150050</v>
      </c>
      <c r="Q365" s="154">
        <f>SUM(Q366:Q376)</f>
        <v>0</v>
      </c>
    </row>
    <row r="366" spans="1:17" s="167" customFormat="1" ht="17.25" customHeight="1">
      <c r="A366" s="22"/>
      <c r="B366" s="26" t="s">
        <v>237</v>
      </c>
      <c r="C366" s="282" t="s">
        <v>238</v>
      </c>
      <c r="D366" s="16"/>
      <c r="E366" s="16"/>
      <c r="F366" s="16"/>
      <c r="G366" s="16"/>
      <c r="H366" s="16"/>
      <c r="I366" s="16"/>
      <c r="J366" s="16"/>
      <c r="K366" s="16">
        <v>24101</v>
      </c>
      <c r="L366" s="16">
        <v>16000</v>
      </c>
      <c r="M366" s="16"/>
      <c r="N366" s="7">
        <f t="shared" si="49"/>
        <v>40101</v>
      </c>
      <c r="O366" s="16">
        <v>0</v>
      </c>
      <c r="P366" s="16">
        <f>N366</f>
        <v>40101</v>
      </c>
      <c r="Q366" s="16">
        <v>0</v>
      </c>
    </row>
    <row r="367" spans="1:17" s="167" customFormat="1" ht="16.5" customHeight="1">
      <c r="A367" s="22"/>
      <c r="B367" s="26" t="s">
        <v>270</v>
      </c>
      <c r="C367" s="282" t="s">
        <v>271</v>
      </c>
      <c r="D367" s="16"/>
      <c r="E367" s="16"/>
      <c r="F367" s="16"/>
      <c r="G367" s="16"/>
      <c r="H367" s="16"/>
      <c r="I367" s="16"/>
      <c r="J367" s="16"/>
      <c r="K367" s="16">
        <v>4384</v>
      </c>
      <c r="L367" s="16">
        <v>2890</v>
      </c>
      <c r="M367" s="16"/>
      <c r="N367" s="7">
        <f t="shared" si="49"/>
        <v>7274</v>
      </c>
      <c r="O367" s="16">
        <v>0</v>
      </c>
      <c r="P367" s="16">
        <f aca="true" t="shared" si="50" ref="P367:P376">N367</f>
        <v>7274</v>
      </c>
      <c r="Q367" s="16">
        <v>0</v>
      </c>
    </row>
    <row r="368" spans="1:17" s="167" customFormat="1" ht="16.5" customHeight="1">
      <c r="A368" s="22"/>
      <c r="B368" s="26" t="s">
        <v>245</v>
      </c>
      <c r="C368" s="282" t="s">
        <v>246</v>
      </c>
      <c r="D368" s="16"/>
      <c r="E368" s="16"/>
      <c r="F368" s="16"/>
      <c r="G368" s="16"/>
      <c r="H368" s="16"/>
      <c r="I368" s="16"/>
      <c r="J368" s="16"/>
      <c r="K368" s="16">
        <v>590</v>
      </c>
      <c r="L368" s="16">
        <v>392</v>
      </c>
      <c r="M368" s="16"/>
      <c r="N368" s="7">
        <f t="shared" si="49"/>
        <v>982</v>
      </c>
      <c r="O368" s="16">
        <v>0</v>
      </c>
      <c r="P368" s="16">
        <f t="shared" si="50"/>
        <v>982</v>
      </c>
      <c r="Q368" s="16">
        <v>0</v>
      </c>
    </row>
    <row r="369" spans="1:17" s="168" customFormat="1" ht="17.25" customHeight="1">
      <c r="A369" s="19"/>
      <c r="B369" s="24" t="s">
        <v>247</v>
      </c>
      <c r="C369" s="236" t="s">
        <v>248</v>
      </c>
      <c r="D369" s="7"/>
      <c r="E369" s="7"/>
      <c r="F369" s="7"/>
      <c r="G369" s="7"/>
      <c r="H369" s="7"/>
      <c r="I369" s="7"/>
      <c r="J369" s="7"/>
      <c r="K369" s="16">
        <v>5483</v>
      </c>
      <c r="L369" s="16">
        <v>64100</v>
      </c>
      <c r="M369" s="7">
        <v>0</v>
      </c>
      <c r="N369" s="7">
        <f t="shared" si="49"/>
        <v>69583</v>
      </c>
      <c r="O369" s="16">
        <v>0</v>
      </c>
      <c r="P369" s="16">
        <f t="shared" si="50"/>
        <v>69583</v>
      </c>
      <c r="Q369" s="16">
        <v>0</v>
      </c>
    </row>
    <row r="370" spans="1:17" s="168" customFormat="1" ht="18.75" customHeight="1">
      <c r="A370" s="19"/>
      <c r="B370" s="24" t="s">
        <v>459</v>
      </c>
      <c r="C370" s="236" t="s">
        <v>134</v>
      </c>
      <c r="D370" s="7"/>
      <c r="E370" s="7"/>
      <c r="F370" s="7"/>
      <c r="G370" s="7"/>
      <c r="H370" s="7"/>
      <c r="I370" s="7"/>
      <c r="J370" s="7"/>
      <c r="K370" s="16">
        <v>300</v>
      </c>
      <c r="L370" s="16"/>
      <c r="M370" s="7"/>
      <c r="N370" s="7">
        <f t="shared" si="49"/>
        <v>300</v>
      </c>
      <c r="O370" s="16">
        <v>0</v>
      </c>
      <c r="P370" s="16">
        <f t="shared" si="50"/>
        <v>300</v>
      </c>
      <c r="Q370" s="16">
        <v>0</v>
      </c>
    </row>
    <row r="371" spans="1:17" s="168" customFormat="1" ht="17.25" customHeight="1">
      <c r="A371" s="19"/>
      <c r="B371" s="24" t="s">
        <v>249</v>
      </c>
      <c r="C371" s="236" t="s">
        <v>368</v>
      </c>
      <c r="D371" s="7"/>
      <c r="E371" s="7"/>
      <c r="F371" s="7"/>
      <c r="G371" s="7"/>
      <c r="H371" s="7"/>
      <c r="I371" s="7"/>
      <c r="J371" s="7"/>
      <c r="K371" s="16">
        <v>5820</v>
      </c>
      <c r="L371" s="16">
        <v>9800</v>
      </c>
      <c r="M371" s="7"/>
      <c r="N371" s="7">
        <f t="shared" si="49"/>
        <v>15620</v>
      </c>
      <c r="O371" s="16">
        <v>0</v>
      </c>
      <c r="P371" s="16">
        <f t="shared" si="50"/>
        <v>15620</v>
      </c>
      <c r="Q371" s="16">
        <v>0</v>
      </c>
    </row>
    <row r="372" spans="1:17" s="168" customFormat="1" ht="17.25" customHeight="1">
      <c r="A372" s="19"/>
      <c r="B372" s="24" t="s">
        <v>251</v>
      </c>
      <c r="C372" s="236" t="s">
        <v>369</v>
      </c>
      <c r="D372" s="7"/>
      <c r="E372" s="7"/>
      <c r="F372" s="7"/>
      <c r="G372" s="7"/>
      <c r="H372" s="7"/>
      <c r="I372" s="7"/>
      <c r="J372" s="7"/>
      <c r="K372" s="16">
        <v>0</v>
      </c>
      <c r="L372" s="16"/>
      <c r="M372" s="7"/>
      <c r="N372" s="7">
        <f t="shared" si="49"/>
        <v>0</v>
      </c>
      <c r="O372" s="16">
        <v>0</v>
      </c>
      <c r="P372" s="16">
        <f t="shared" si="50"/>
        <v>0</v>
      </c>
      <c r="Q372" s="16">
        <v>0</v>
      </c>
    </row>
    <row r="373" spans="1:17" s="168" customFormat="1" ht="17.25" customHeight="1">
      <c r="A373" s="19"/>
      <c r="B373" s="24" t="s">
        <v>253</v>
      </c>
      <c r="C373" s="236" t="s">
        <v>370</v>
      </c>
      <c r="D373" s="7"/>
      <c r="E373" s="7"/>
      <c r="F373" s="7"/>
      <c r="G373" s="7"/>
      <c r="H373" s="7"/>
      <c r="I373" s="7"/>
      <c r="J373" s="7"/>
      <c r="K373" s="16">
        <v>2280</v>
      </c>
      <c r="L373" s="16">
        <v>9800</v>
      </c>
      <c r="M373" s="7"/>
      <c r="N373" s="7">
        <f t="shared" si="49"/>
        <v>12080</v>
      </c>
      <c r="O373" s="16">
        <v>0</v>
      </c>
      <c r="P373" s="16">
        <f t="shared" si="50"/>
        <v>12080</v>
      </c>
      <c r="Q373" s="16">
        <v>0</v>
      </c>
    </row>
    <row r="374" spans="1:17" s="168" customFormat="1" ht="16.5" customHeight="1">
      <c r="A374" s="19"/>
      <c r="B374" s="24" t="s">
        <v>107</v>
      </c>
      <c r="C374" s="236" t="s">
        <v>108</v>
      </c>
      <c r="D374" s="7"/>
      <c r="E374" s="7"/>
      <c r="F374" s="7"/>
      <c r="G374" s="7"/>
      <c r="H374" s="7"/>
      <c r="I374" s="7"/>
      <c r="J374" s="7"/>
      <c r="K374" s="16">
        <v>864</v>
      </c>
      <c r="L374" s="16">
        <v>900</v>
      </c>
      <c r="M374" s="7"/>
      <c r="N374" s="7">
        <f t="shared" si="49"/>
        <v>1764</v>
      </c>
      <c r="O374" s="16">
        <v>0</v>
      </c>
      <c r="P374" s="16">
        <f t="shared" si="50"/>
        <v>1764</v>
      </c>
      <c r="Q374" s="16">
        <v>0</v>
      </c>
    </row>
    <row r="375" spans="1:17" s="168" customFormat="1" ht="18" customHeight="1">
      <c r="A375" s="19"/>
      <c r="B375" s="24" t="s">
        <v>255</v>
      </c>
      <c r="C375" s="236" t="s">
        <v>256</v>
      </c>
      <c r="D375" s="7"/>
      <c r="E375" s="7"/>
      <c r="F375" s="7"/>
      <c r="G375" s="7"/>
      <c r="H375" s="7"/>
      <c r="I375" s="7"/>
      <c r="J375" s="7"/>
      <c r="K375" s="16">
        <v>1200</v>
      </c>
      <c r="L375" s="16"/>
      <c r="M375" s="7"/>
      <c r="N375" s="7">
        <f t="shared" si="49"/>
        <v>1200</v>
      </c>
      <c r="O375" s="16">
        <v>0</v>
      </c>
      <c r="P375" s="16">
        <f t="shared" si="50"/>
        <v>1200</v>
      </c>
      <c r="Q375" s="16">
        <v>0</v>
      </c>
    </row>
    <row r="376" spans="1:17" s="168" customFormat="1" ht="19.5" customHeight="1">
      <c r="A376" s="19"/>
      <c r="B376" s="24" t="s">
        <v>259</v>
      </c>
      <c r="C376" s="236" t="s">
        <v>260</v>
      </c>
      <c r="D376" s="7"/>
      <c r="E376" s="7"/>
      <c r="F376" s="7"/>
      <c r="G376" s="7"/>
      <c r="H376" s="7"/>
      <c r="I376" s="7"/>
      <c r="J376" s="7"/>
      <c r="K376" s="16">
        <v>1146</v>
      </c>
      <c r="L376" s="16">
        <v>0</v>
      </c>
      <c r="M376" s="7"/>
      <c r="N376" s="7">
        <f t="shared" si="49"/>
        <v>1146</v>
      </c>
      <c r="O376" s="16">
        <v>0</v>
      </c>
      <c r="P376" s="16">
        <f t="shared" si="50"/>
        <v>1146</v>
      </c>
      <c r="Q376" s="16">
        <v>0</v>
      </c>
    </row>
    <row r="377" spans="1:17" s="168" customFormat="1" ht="24" customHeight="1">
      <c r="A377" s="183" t="s">
        <v>556</v>
      </c>
      <c r="B377" s="183"/>
      <c r="C377" s="291" t="s">
        <v>557</v>
      </c>
      <c r="D377" s="288"/>
      <c r="E377" s="288"/>
      <c r="F377" s="288"/>
      <c r="G377" s="288"/>
      <c r="H377" s="288"/>
      <c r="I377" s="288"/>
      <c r="J377" s="288"/>
      <c r="K377" s="154">
        <f>K379</f>
        <v>2200</v>
      </c>
      <c r="L377" s="154">
        <f>L379</f>
        <v>0</v>
      </c>
      <c r="M377" s="154">
        <f>M379</f>
        <v>0</v>
      </c>
      <c r="N377" s="154">
        <f t="shared" si="49"/>
        <v>2200</v>
      </c>
      <c r="O377" s="154">
        <f>O379</f>
        <v>0</v>
      </c>
      <c r="P377" s="152">
        <f>P379</f>
        <v>2200</v>
      </c>
      <c r="Q377" s="292">
        <f>Q379</f>
        <v>0</v>
      </c>
    </row>
    <row r="378" spans="1:17" s="275" customFormat="1" ht="16.5" customHeight="1">
      <c r="A378" s="30"/>
      <c r="B378" s="30" t="s">
        <v>116</v>
      </c>
      <c r="C378" s="282" t="s">
        <v>675</v>
      </c>
      <c r="D378" s="16"/>
      <c r="E378" s="16"/>
      <c r="F378" s="16"/>
      <c r="G378" s="16"/>
      <c r="H378" s="16"/>
      <c r="I378" s="16"/>
      <c r="J378" s="16"/>
      <c r="K378" s="16">
        <v>0</v>
      </c>
      <c r="L378" s="16"/>
      <c r="M378" s="16"/>
      <c r="N378" s="7">
        <f t="shared" si="49"/>
        <v>0</v>
      </c>
      <c r="O378" s="16">
        <v>0</v>
      </c>
      <c r="P378" s="17">
        <f>N378</f>
        <v>0</v>
      </c>
      <c r="Q378" s="17">
        <v>0</v>
      </c>
    </row>
    <row r="379" spans="1:17" s="168" customFormat="1" ht="19.5" customHeight="1">
      <c r="A379" s="19"/>
      <c r="B379" s="19" t="s">
        <v>253</v>
      </c>
      <c r="C379" s="282" t="s">
        <v>370</v>
      </c>
      <c r="D379" s="7"/>
      <c r="E379" s="7"/>
      <c r="F379" s="7"/>
      <c r="G379" s="7"/>
      <c r="H379" s="7"/>
      <c r="I379" s="7"/>
      <c r="J379" s="7"/>
      <c r="K379" s="7">
        <v>2200</v>
      </c>
      <c r="L379" s="7"/>
      <c r="M379" s="7"/>
      <c r="N379" s="7">
        <f t="shared" si="49"/>
        <v>2200</v>
      </c>
      <c r="O379" s="7">
        <v>0</v>
      </c>
      <c r="P379" s="17">
        <f>N379</f>
        <v>2200</v>
      </c>
      <c r="Q379" s="20">
        <v>0</v>
      </c>
    </row>
    <row r="380" spans="1:17" s="168" customFormat="1" ht="17.25" customHeight="1">
      <c r="A380" s="183" t="s">
        <v>381</v>
      </c>
      <c r="B380" s="183"/>
      <c r="C380" s="291" t="s">
        <v>315</v>
      </c>
      <c r="D380" s="154"/>
      <c r="E380" s="154" t="e">
        <f>#REF!+#REF!</f>
        <v>#REF!</v>
      </c>
      <c r="F380" s="154" t="e">
        <f>#REF!+#REF!</f>
        <v>#REF!</v>
      </c>
      <c r="G380" s="154" t="e">
        <f>#REF!+#REF!</f>
        <v>#REF!</v>
      </c>
      <c r="H380" s="154" t="e">
        <f>#REF!+H383</f>
        <v>#REF!</v>
      </c>
      <c r="I380" s="154" t="e">
        <f>#REF!+I383</f>
        <v>#REF!</v>
      </c>
      <c r="J380" s="154" t="e">
        <f>#REF!+J383</f>
        <v>#REF!</v>
      </c>
      <c r="K380" s="154">
        <f>K381+K382+K383</f>
        <v>5969</v>
      </c>
      <c r="L380" s="154">
        <f>L381+L382+L383</f>
        <v>0</v>
      </c>
      <c r="M380" s="154">
        <f>M381+M382+M383</f>
        <v>0</v>
      </c>
      <c r="N380" s="288">
        <f t="shared" si="49"/>
        <v>5969</v>
      </c>
      <c r="O380" s="154">
        <f>O381+O382+O383</f>
        <v>0</v>
      </c>
      <c r="P380" s="154">
        <f>P381+P382+P383</f>
        <v>5969</v>
      </c>
      <c r="Q380" s="154">
        <f>Q381+Q382+Q383</f>
        <v>0</v>
      </c>
    </row>
    <row r="381" spans="1:17" s="168" customFormat="1" ht="18.75" customHeight="1">
      <c r="A381" s="22"/>
      <c r="B381" s="30" t="s">
        <v>247</v>
      </c>
      <c r="C381" s="282" t="s">
        <v>274</v>
      </c>
      <c r="D381" s="16"/>
      <c r="E381" s="16"/>
      <c r="F381" s="16"/>
      <c r="G381" s="16"/>
      <c r="H381" s="16"/>
      <c r="I381" s="16"/>
      <c r="J381" s="16"/>
      <c r="K381" s="16">
        <v>0</v>
      </c>
      <c r="L381" s="16"/>
      <c r="M381" s="16"/>
      <c r="N381" s="7">
        <f t="shared" si="49"/>
        <v>0</v>
      </c>
      <c r="O381" s="16">
        <v>0</v>
      </c>
      <c r="P381" s="16">
        <f>N381</f>
        <v>0</v>
      </c>
      <c r="Q381" s="16">
        <v>0</v>
      </c>
    </row>
    <row r="382" spans="1:17" s="168" customFormat="1" ht="18" customHeight="1">
      <c r="A382" s="22"/>
      <c r="B382" s="30" t="s">
        <v>259</v>
      </c>
      <c r="C382" s="282" t="s">
        <v>529</v>
      </c>
      <c r="D382" s="16"/>
      <c r="E382" s="16"/>
      <c r="F382" s="16"/>
      <c r="G382" s="16"/>
      <c r="H382" s="16"/>
      <c r="I382" s="16"/>
      <c r="J382" s="16"/>
      <c r="K382" s="16">
        <v>5469</v>
      </c>
      <c r="L382" s="16">
        <v>0</v>
      </c>
      <c r="M382" s="16"/>
      <c r="N382" s="7">
        <f t="shared" si="49"/>
        <v>5469</v>
      </c>
      <c r="O382" s="16">
        <v>0</v>
      </c>
      <c r="P382" s="16">
        <f>N382</f>
        <v>5469</v>
      </c>
      <c r="Q382" s="16">
        <v>0</v>
      </c>
    </row>
    <row r="383" spans="1:17" s="168" customFormat="1" ht="18.75" customHeight="1">
      <c r="A383" s="19"/>
      <c r="B383" s="19" t="s">
        <v>253</v>
      </c>
      <c r="C383" s="282" t="s">
        <v>254</v>
      </c>
      <c r="D383" s="7"/>
      <c r="E383" s="7">
        <v>6515</v>
      </c>
      <c r="F383" s="7">
        <v>3292</v>
      </c>
      <c r="G383" s="7">
        <v>0</v>
      </c>
      <c r="H383" s="7">
        <v>2885</v>
      </c>
      <c r="I383" s="7">
        <v>0</v>
      </c>
      <c r="J383" s="7">
        <v>0</v>
      </c>
      <c r="K383" s="7">
        <v>500</v>
      </c>
      <c r="L383" s="7"/>
      <c r="M383" s="7"/>
      <c r="N383" s="7">
        <f t="shared" si="49"/>
        <v>500</v>
      </c>
      <c r="O383" s="7">
        <v>0</v>
      </c>
      <c r="P383" s="16">
        <f>N383</f>
        <v>500</v>
      </c>
      <c r="Q383" s="20">
        <v>0</v>
      </c>
    </row>
    <row r="384" spans="1:17" s="168" customFormat="1" ht="24.75" customHeight="1">
      <c r="A384" s="165" t="s">
        <v>451</v>
      </c>
      <c r="B384" s="165"/>
      <c r="C384" s="166" t="s">
        <v>380</v>
      </c>
      <c r="D384" s="159"/>
      <c r="E384" s="159"/>
      <c r="F384" s="159"/>
      <c r="G384" s="159"/>
      <c r="H384" s="159"/>
      <c r="I384" s="159"/>
      <c r="J384" s="159"/>
      <c r="K384" s="159">
        <f>K385+K392+K406</f>
        <v>1262515</v>
      </c>
      <c r="L384" s="159">
        <f>L385+L392+L406</f>
        <v>12452</v>
      </c>
      <c r="M384" s="159">
        <f>M385+M392+M406</f>
        <v>35473</v>
      </c>
      <c r="N384" s="159">
        <f t="shared" si="49"/>
        <v>1239494</v>
      </c>
      <c r="O384" s="159">
        <f>O385+O392</f>
        <v>0</v>
      </c>
      <c r="P384" s="159">
        <f>P385+P392+P406</f>
        <v>1239494</v>
      </c>
      <c r="Q384" s="159">
        <f>Q385+Q392</f>
        <v>0</v>
      </c>
    </row>
    <row r="385" spans="1:17" s="168" customFormat="1" ht="19.5" customHeight="1">
      <c r="A385" s="183" t="s">
        <v>464</v>
      </c>
      <c r="B385" s="183"/>
      <c r="C385" s="182" t="s">
        <v>9</v>
      </c>
      <c r="D385" s="154"/>
      <c r="E385" s="154"/>
      <c r="F385" s="154"/>
      <c r="G385" s="154"/>
      <c r="H385" s="154"/>
      <c r="I385" s="154"/>
      <c r="J385" s="154"/>
      <c r="K385" s="154">
        <f>K386+K387+K388+K389+K390+K391</f>
        <v>20491</v>
      </c>
      <c r="L385" s="154">
        <f>L386+L387+L388+L389+L390+L391</f>
        <v>0</v>
      </c>
      <c r="M385" s="154">
        <f>M386+M387+M388+M389+M390+M391</f>
        <v>0</v>
      </c>
      <c r="N385" s="288">
        <f t="shared" si="49"/>
        <v>20491</v>
      </c>
      <c r="O385" s="154">
        <f>O386+O387+O388+O389+O390+O391</f>
        <v>0</v>
      </c>
      <c r="P385" s="154">
        <f>P386+P387+P388+P389+P390+P391</f>
        <v>20491</v>
      </c>
      <c r="Q385" s="154">
        <f>Q386+Q387+Q388+Q389+Q390+Q391</f>
        <v>0</v>
      </c>
    </row>
    <row r="386" spans="1:17" s="168" customFormat="1" ht="14.25" customHeight="1">
      <c r="A386" s="19"/>
      <c r="B386" s="19" t="s">
        <v>237</v>
      </c>
      <c r="C386" s="282" t="s">
        <v>238</v>
      </c>
      <c r="D386" s="7">
        <v>16515</v>
      </c>
      <c r="E386" s="7">
        <v>15028</v>
      </c>
      <c r="F386" s="7">
        <v>0</v>
      </c>
      <c r="G386" s="7">
        <v>0</v>
      </c>
      <c r="H386" s="7">
        <v>9550</v>
      </c>
      <c r="I386" s="7">
        <v>0</v>
      </c>
      <c r="J386" s="7">
        <v>0</v>
      </c>
      <c r="K386" s="7">
        <v>15000</v>
      </c>
      <c r="L386" s="7"/>
      <c r="M386" s="7"/>
      <c r="N386" s="7">
        <f t="shared" si="49"/>
        <v>15000</v>
      </c>
      <c r="O386" s="7">
        <v>0</v>
      </c>
      <c r="P386" s="20">
        <f aca="true" t="shared" si="51" ref="P386:P391">N386</f>
        <v>15000</v>
      </c>
      <c r="Q386" s="20">
        <v>0</v>
      </c>
    </row>
    <row r="387" spans="1:17" s="168" customFormat="1" ht="16.5" customHeight="1">
      <c r="A387" s="19"/>
      <c r="B387" s="19" t="s">
        <v>241</v>
      </c>
      <c r="C387" s="282" t="s">
        <v>242</v>
      </c>
      <c r="D387" s="7"/>
      <c r="E387" s="7"/>
      <c r="F387" s="7"/>
      <c r="G387" s="7"/>
      <c r="H387" s="7">
        <v>765</v>
      </c>
      <c r="I387" s="7">
        <v>0</v>
      </c>
      <c r="J387" s="7">
        <v>0</v>
      </c>
      <c r="K387" s="7">
        <v>1275</v>
      </c>
      <c r="L387" s="7"/>
      <c r="M387" s="7"/>
      <c r="N387" s="7">
        <f t="shared" si="49"/>
        <v>1275</v>
      </c>
      <c r="O387" s="7">
        <v>0</v>
      </c>
      <c r="P387" s="20">
        <f t="shared" si="51"/>
        <v>1275</v>
      </c>
      <c r="Q387" s="20">
        <v>0</v>
      </c>
    </row>
    <row r="388" spans="1:17" s="168" customFormat="1" ht="18.75" customHeight="1">
      <c r="A388" s="19"/>
      <c r="B388" s="31" t="s">
        <v>270</v>
      </c>
      <c r="C388" s="282" t="s">
        <v>465</v>
      </c>
      <c r="D388" s="7">
        <v>3358</v>
      </c>
      <c r="E388" s="7">
        <v>2709</v>
      </c>
      <c r="F388" s="7">
        <v>0</v>
      </c>
      <c r="G388" s="7">
        <v>0</v>
      </c>
      <c r="H388" s="7">
        <v>1844</v>
      </c>
      <c r="I388" s="7">
        <v>0</v>
      </c>
      <c r="J388" s="7">
        <v>0</v>
      </c>
      <c r="K388" s="7">
        <v>2804</v>
      </c>
      <c r="L388" s="7"/>
      <c r="M388" s="7"/>
      <c r="N388" s="7">
        <f t="shared" si="49"/>
        <v>2804</v>
      </c>
      <c r="O388" s="7">
        <v>0</v>
      </c>
      <c r="P388" s="20">
        <f t="shared" si="51"/>
        <v>2804</v>
      </c>
      <c r="Q388" s="20">
        <v>0</v>
      </c>
    </row>
    <row r="389" spans="1:17" s="168" customFormat="1" ht="17.25" customHeight="1">
      <c r="A389" s="19"/>
      <c r="B389" s="31" t="s">
        <v>245</v>
      </c>
      <c r="C389" s="282" t="s">
        <v>246</v>
      </c>
      <c r="D389" s="7"/>
      <c r="E389" s="7">
        <v>371</v>
      </c>
      <c r="F389" s="7">
        <v>0</v>
      </c>
      <c r="G389" s="7">
        <v>0</v>
      </c>
      <c r="H389" s="7">
        <v>253</v>
      </c>
      <c r="I389" s="7">
        <v>0</v>
      </c>
      <c r="J389" s="7">
        <v>0</v>
      </c>
      <c r="K389" s="7">
        <v>399</v>
      </c>
      <c r="L389" s="7"/>
      <c r="M389" s="7"/>
      <c r="N389" s="7">
        <f t="shared" si="49"/>
        <v>399</v>
      </c>
      <c r="O389" s="7">
        <v>0</v>
      </c>
      <c r="P389" s="20">
        <f t="shared" si="51"/>
        <v>399</v>
      </c>
      <c r="Q389" s="20">
        <v>0</v>
      </c>
    </row>
    <row r="390" spans="1:17" s="168" customFormat="1" ht="15.75" customHeight="1">
      <c r="A390" s="19"/>
      <c r="B390" s="19" t="s">
        <v>253</v>
      </c>
      <c r="C390" s="282" t="s">
        <v>370</v>
      </c>
      <c r="D390" s="7"/>
      <c r="E390" s="7"/>
      <c r="F390" s="7"/>
      <c r="G390" s="7"/>
      <c r="H390" s="7">
        <v>29725</v>
      </c>
      <c r="I390" s="7">
        <v>0</v>
      </c>
      <c r="J390" s="7">
        <v>0</v>
      </c>
      <c r="K390" s="7">
        <v>561</v>
      </c>
      <c r="L390" s="7"/>
      <c r="M390" s="7"/>
      <c r="N390" s="7">
        <f t="shared" si="49"/>
        <v>561</v>
      </c>
      <c r="O390" s="7">
        <v>0</v>
      </c>
      <c r="P390" s="20">
        <f t="shared" si="51"/>
        <v>561</v>
      </c>
      <c r="Q390" s="20">
        <v>0</v>
      </c>
    </row>
    <row r="391" spans="1:17" s="168" customFormat="1" ht="16.5" customHeight="1">
      <c r="A391" s="19"/>
      <c r="B391" s="19" t="s">
        <v>259</v>
      </c>
      <c r="C391" s="282" t="s">
        <v>260</v>
      </c>
      <c r="D391" s="7"/>
      <c r="E391" s="7"/>
      <c r="F391" s="7"/>
      <c r="G391" s="7"/>
      <c r="H391" s="7"/>
      <c r="I391" s="7"/>
      <c r="J391" s="7"/>
      <c r="K391" s="7">
        <v>452</v>
      </c>
      <c r="L391" s="7"/>
      <c r="M391" s="7"/>
      <c r="N391" s="7">
        <f t="shared" si="49"/>
        <v>452</v>
      </c>
      <c r="O391" s="7">
        <v>0</v>
      </c>
      <c r="P391" s="20">
        <f t="shared" si="51"/>
        <v>452</v>
      </c>
      <c r="Q391" s="20">
        <v>0</v>
      </c>
    </row>
    <row r="392" spans="1:17" s="168" customFormat="1" ht="15.75" customHeight="1">
      <c r="A392" s="183" t="s">
        <v>468</v>
      </c>
      <c r="B392" s="293"/>
      <c r="C392" s="182" t="s">
        <v>469</v>
      </c>
      <c r="D392" s="154" t="e">
        <f>D394+D395+D396+#REF!</f>
        <v>#REF!</v>
      </c>
      <c r="E392" s="154" t="e">
        <f>E394+E395+E396+E397+#REF!+#REF!+E399+E400+#REF!+E401+E403+#REF!+#REF!</f>
        <v>#REF!</v>
      </c>
      <c r="F392" s="154" t="e">
        <f>F394+F395+F396+F397+#REF!+#REF!+F399+F400+#REF!+F401+F403+#REF!+#REF!</f>
        <v>#REF!</v>
      </c>
      <c r="G392" s="154" t="e">
        <f>G394+G395+G396+G397+#REF!+#REF!+G399+G400+#REF!+G401+G403+#REF!+#REF!</f>
        <v>#REF!</v>
      </c>
      <c r="H392" s="154" t="e">
        <f>H394+H395+H396+H397+H399+H400+H401+H403+#REF!+H404+#REF!</f>
        <v>#REF!</v>
      </c>
      <c r="I392" s="154" t="e">
        <f>I394+I395+I396+I397+I399+I400+I401+I403+#REF!+I404+#REF!</f>
        <v>#REF!</v>
      </c>
      <c r="J392" s="154" t="e">
        <f>J394+J395+J396+J397+J399+J400+J401+J403+#REF!+J404+#REF!</f>
        <v>#REF!</v>
      </c>
      <c r="K392" s="154">
        <f>SUM(K393:K405)</f>
        <v>880613</v>
      </c>
      <c r="L392" s="154">
        <f>SUM(L393:L405)</f>
        <v>12000</v>
      </c>
      <c r="M392" s="154">
        <f>SUM(M393:M405)</f>
        <v>0</v>
      </c>
      <c r="N392" s="154">
        <f t="shared" si="49"/>
        <v>892613</v>
      </c>
      <c r="O392" s="154">
        <f>SUM(O393:O405)</f>
        <v>0</v>
      </c>
      <c r="P392" s="154">
        <f>SUM(P393:P405)</f>
        <v>892613</v>
      </c>
      <c r="Q392" s="154">
        <f>SUM(Q393:Q405)</f>
        <v>0</v>
      </c>
    </row>
    <row r="393" spans="1:17" s="168" customFormat="1" ht="15.75" customHeight="1">
      <c r="A393" s="22"/>
      <c r="B393" s="19" t="s">
        <v>220</v>
      </c>
      <c r="C393" s="282" t="s">
        <v>530</v>
      </c>
      <c r="D393" s="6"/>
      <c r="E393" s="6"/>
      <c r="F393" s="6"/>
      <c r="G393" s="6"/>
      <c r="H393" s="6"/>
      <c r="I393" s="6"/>
      <c r="J393" s="6"/>
      <c r="K393" s="16">
        <v>250</v>
      </c>
      <c r="L393" s="16"/>
      <c r="M393" s="6"/>
      <c r="N393" s="7">
        <f t="shared" si="49"/>
        <v>250</v>
      </c>
      <c r="O393" s="6"/>
      <c r="P393" s="16">
        <f>N393-O393</f>
        <v>250</v>
      </c>
      <c r="Q393" s="6"/>
    </row>
    <row r="394" spans="1:17" s="168" customFormat="1" ht="12.75" customHeight="1">
      <c r="A394" s="19"/>
      <c r="B394" s="19" t="s">
        <v>237</v>
      </c>
      <c r="C394" s="282" t="s">
        <v>238</v>
      </c>
      <c r="D394" s="7">
        <v>606420</v>
      </c>
      <c r="E394" s="7">
        <v>652585</v>
      </c>
      <c r="F394" s="7">
        <v>0</v>
      </c>
      <c r="G394" s="7">
        <v>0</v>
      </c>
      <c r="H394" s="7">
        <v>370235</v>
      </c>
      <c r="I394" s="7">
        <v>0</v>
      </c>
      <c r="J394" s="7">
        <v>0</v>
      </c>
      <c r="K394" s="7">
        <v>567083</v>
      </c>
      <c r="L394" s="7"/>
      <c r="M394" s="7"/>
      <c r="N394" s="7">
        <f t="shared" si="49"/>
        <v>567083</v>
      </c>
      <c r="O394" s="7">
        <v>0</v>
      </c>
      <c r="P394" s="16">
        <f aca="true" t="shared" si="52" ref="P394:P422">N394-O394</f>
        <v>567083</v>
      </c>
      <c r="Q394" s="20">
        <v>0</v>
      </c>
    </row>
    <row r="395" spans="1:17" s="168" customFormat="1" ht="12.75" customHeight="1">
      <c r="A395" s="19"/>
      <c r="B395" s="19" t="s">
        <v>241</v>
      </c>
      <c r="C395" s="282" t="s">
        <v>242</v>
      </c>
      <c r="D395" s="7">
        <v>48267</v>
      </c>
      <c r="E395" s="7">
        <v>48566</v>
      </c>
      <c r="F395" s="7">
        <v>0</v>
      </c>
      <c r="G395" s="7">
        <v>0</v>
      </c>
      <c r="H395" s="16">
        <v>28767</v>
      </c>
      <c r="I395" s="16">
        <v>0</v>
      </c>
      <c r="J395" s="16">
        <v>0</v>
      </c>
      <c r="K395" s="7">
        <v>42907</v>
      </c>
      <c r="L395" s="7"/>
      <c r="M395" s="16">
        <v>0</v>
      </c>
      <c r="N395" s="7">
        <f t="shared" si="49"/>
        <v>42907</v>
      </c>
      <c r="O395" s="7">
        <v>0</v>
      </c>
      <c r="P395" s="16">
        <f t="shared" si="52"/>
        <v>42907</v>
      </c>
      <c r="Q395" s="20">
        <v>0</v>
      </c>
    </row>
    <row r="396" spans="1:17" s="168" customFormat="1" ht="13.5" customHeight="1">
      <c r="A396" s="19"/>
      <c r="B396" s="31" t="s">
        <v>299</v>
      </c>
      <c r="C396" s="282" t="s">
        <v>313</v>
      </c>
      <c r="D396" s="7">
        <v>131863</v>
      </c>
      <c r="E396" s="7">
        <v>124716</v>
      </c>
      <c r="F396" s="7">
        <v>0</v>
      </c>
      <c r="G396" s="7">
        <v>0</v>
      </c>
      <c r="H396" s="7">
        <v>68092</v>
      </c>
      <c r="I396" s="7">
        <v>0</v>
      </c>
      <c r="J396" s="7">
        <v>0</v>
      </c>
      <c r="K396" s="7">
        <v>105116</v>
      </c>
      <c r="L396" s="7"/>
      <c r="M396" s="7"/>
      <c r="N396" s="7">
        <f t="shared" si="49"/>
        <v>105116</v>
      </c>
      <c r="O396" s="7">
        <v>0</v>
      </c>
      <c r="P396" s="16">
        <f t="shared" si="52"/>
        <v>105116</v>
      </c>
      <c r="Q396" s="20">
        <v>0</v>
      </c>
    </row>
    <row r="397" spans="1:17" s="168" customFormat="1" ht="12" customHeight="1">
      <c r="A397" s="19"/>
      <c r="B397" s="31" t="s">
        <v>245</v>
      </c>
      <c r="C397" s="282" t="s">
        <v>246</v>
      </c>
      <c r="D397" s="7"/>
      <c r="E397" s="7">
        <v>16239</v>
      </c>
      <c r="F397" s="7">
        <v>0</v>
      </c>
      <c r="G397" s="7">
        <v>0</v>
      </c>
      <c r="H397" s="7">
        <v>11100</v>
      </c>
      <c r="I397" s="7">
        <v>0</v>
      </c>
      <c r="J397" s="7">
        <v>0</v>
      </c>
      <c r="K397" s="7">
        <v>14429</v>
      </c>
      <c r="L397" s="7">
        <v>0</v>
      </c>
      <c r="M397" s="7"/>
      <c r="N397" s="7">
        <f t="shared" si="49"/>
        <v>14429</v>
      </c>
      <c r="O397" s="7">
        <v>0</v>
      </c>
      <c r="P397" s="16">
        <f t="shared" si="52"/>
        <v>14429</v>
      </c>
      <c r="Q397" s="20">
        <v>0</v>
      </c>
    </row>
    <row r="398" spans="1:17" s="168" customFormat="1" ht="14.25" customHeight="1">
      <c r="A398" s="19"/>
      <c r="B398" s="19" t="s">
        <v>92</v>
      </c>
      <c r="C398" s="282" t="s">
        <v>106</v>
      </c>
      <c r="D398" s="7"/>
      <c r="E398" s="7"/>
      <c r="F398" s="7"/>
      <c r="G398" s="7"/>
      <c r="H398" s="6"/>
      <c r="I398" s="6"/>
      <c r="J398" s="6"/>
      <c r="K398" s="7">
        <v>16340</v>
      </c>
      <c r="L398" s="7">
        <v>0</v>
      </c>
      <c r="M398" s="6"/>
      <c r="N398" s="7">
        <f t="shared" si="49"/>
        <v>16340</v>
      </c>
      <c r="O398" s="7">
        <v>0</v>
      </c>
      <c r="P398" s="16">
        <f t="shared" si="52"/>
        <v>16340</v>
      </c>
      <c r="Q398" s="20">
        <v>0</v>
      </c>
    </row>
    <row r="399" spans="1:17" s="168" customFormat="1" ht="14.25" customHeight="1">
      <c r="A399" s="19"/>
      <c r="B399" s="19" t="s">
        <v>247</v>
      </c>
      <c r="C399" s="282" t="s">
        <v>414</v>
      </c>
      <c r="D399" s="7"/>
      <c r="E399" s="7">
        <v>20202</v>
      </c>
      <c r="F399" s="7">
        <v>0</v>
      </c>
      <c r="G399" s="7">
        <v>0</v>
      </c>
      <c r="H399" s="7">
        <v>25567</v>
      </c>
      <c r="I399" s="7">
        <v>0</v>
      </c>
      <c r="J399" s="7">
        <v>0</v>
      </c>
      <c r="K399" s="7">
        <v>27000</v>
      </c>
      <c r="L399" s="7">
        <v>2500</v>
      </c>
      <c r="M399" s="7"/>
      <c r="N399" s="7">
        <f t="shared" si="49"/>
        <v>29500</v>
      </c>
      <c r="O399" s="7">
        <v>0</v>
      </c>
      <c r="P399" s="16">
        <f t="shared" si="52"/>
        <v>29500</v>
      </c>
      <c r="Q399" s="20">
        <v>0</v>
      </c>
    </row>
    <row r="400" spans="1:17" s="168" customFormat="1" ht="13.5" customHeight="1">
      <c r="A400" s="19"/>
      <c r="B400" s="19" t="s">
        <v>249</v>
      </c>
      <c r="C400" s="282" t="s">
        <v>368</v>
      </c>
      <c r="D400" s="7"/>
      <c r="E400" s="7">
        <v>31800</v>
      </c>
      <c r="F400" s="7">
        <v>0</v>
      </c>
      <c r="G400" s="7">
        <v>0</v>
      </c>
      <c r="H400" s="7">
        <v>34876</v>
      </c>
      <c r="I400" s="7">
        <v>0</v>
      </c>
      <c r="J400" s="7">
        <v>0</v>
      </c>
      <c r="K400" s="7">
        <v>29516</v>
      </c>
      <c r="L400" s="7"/>
      <c r="M400" s="7"/>
      <c r="N400" s="7">
        <f t="shared" si="49"/>
        <v>29516</v>
      </c>
      <c r="O400" s="7">
        <v>0</v>
      </c>
      <c r="P400" s="16">
        <f t="shared" si="52"/>
        <v>29516</v>
      </c>
      <c r="Q400" s="20">
        <v>0</v>
      </c>
    </row>
    <row r="401" spans="1:17" s="168" customFormat="1" ht="15" customHeight="1">
      <c r="A401" s="19"/>
      <c r="B401" s="19" t="s">
        <v>251</v>
      </c>
      <c r="C401" s="282" t="s">
        <v>369</v>
      </c>
      <c r="D401" s="7"/>
      <c r="E401" s="7">
        <v>17850</v>
      </c>
      <c r="F401" s="7">
        <v>0</v>
      </c>
      <c r="G401" s="7">
        <v>0</v>
      </c>
      <c r="H401" s="7">
        <v>33475</v>
      </c>
      <c r="I401" s="7">
        <v>0</v>
      </c>
      <c r="J401" s="7">
        <v>0</v>
      </c>
      <c r="K401" s="7">
        <v>0</v>
      </c>
      <c r="L401" s="7">
        <v>9500</v>
      </c>
      <c r="M401" s="7"/>
      <c r="N401" s="7">
        <f t="shared" si="49"/>
        <v>9500</v>
      </c>
      <c r="O401" s="7">
        <v>0</v>
      </c>
      <c r="P401" s="16">
        <f t="shared" si="52"/>
        <v>9500</v>
      </c>
      <c r="Q401" s="20">
        <v>0</v>
      </c>
    </row>
    <row r="402" spans="1:17" s="168" customFormat="1" ht="15" customHeight="1">
      <c r="A402" s="19"/>
      <c r="B402" s="19" t="s">
        <v>253</v>
      </c>
      <c r="C402" s="282" t="s">
        <v>370</v>
      </c>
      <c r="D402" s="7"/>
      <c r="E402" s="7"/>
      <c r="F402" s="7"/>
      <c r="G402" s="7"/>
      <c r="H402" s="7"/>
      <c r="I402" s="7"/>
      <c r="J402" s="7"/>
      <c r="K402" s="7">
        <v>27280</v>
      </c>
      <c r="L402" s="7">
        <v>0</v>
      </c>
      <c r="M402" s="7">
        <v>0</v>
      </c>
      <c r="N402" s="7">
        <f t="shared" si="49"/>
        <v>27280</v>
      </c>
      <c r="O402" s="7">
        <v>0</v>
      </c>
      <c r="P402" s="16">
        <f t="shared" si="52"/>
        <v>27280</v>
      </c>
      <c r="Q402" s="20">
        <v>0</v>
      </c>
    </row>
    <row r="403" spans="1:17" s="168" customFormat="1" ht="14.25" customHeight="1">
      <c r="A403" s="19"/>
      <c r="B403" s="19" t="s">
        <v>255</v>
      </c>
      <c r="C403" s="282" t="s">
        <v>256</v>
      </c>
      <c r="D403" s="7"/>
      <c r="E403" s="7">
        <v>1400</v>
      </c>
      <c r="F403" s="7">
        <v>0</v>
      </c>
      <c r="G403" s="7">
        <v>0</v>
      </c>
      <c r="H403" s="7">
        <v>2000</v>
      </c>
      <c r="I403" s="7">
        <v>0</v>
      </c>
      <c r="J403" s="7">
        <v>0</v>
      </c>
      <c r="K403" s="7">
        <v>2000</v>
      </c>
      <c r="L403" s="7"/>
      <c r="M403" s="7"/>
      <c r="N403" s="7">
        <f t="shared" si="49"/>
        <v>2000</v>
      </c>
      <c r="O403" s="7">
        <v>0</v>
      </c>
      <c r="P403" s="16">
        <f t="shared" si="52"/>
        <v>2000</v>
      </c>
      <c r="Q403" s="20">
        <v>0</v>
      </c>
    </row>
    <row r="404" spans="1:17" s="168" customFormat="1" ht="14.25" customHeight="1">
      <c r="A404" s="19"/>
      <c r="B404" s="19" t="s">
        <v>259</v>
      </c>
      <c r="C404" s="282" t="s">
        <v>260</v>
      </c>
      <c r="D404" s="7"/>
      <c r="E404" s="7"/>
      <c r="F404" s="7"/>
      <c r="G404" s="7"/>
      <c r="H404" s="7">
        <v>12853</v>
      </c>
      <c r="I404" s="7">
        <v>0</v>
      </c>
      <c r="J404" s="7">
        <v>0</v>
      </c>
      <c r="K404" s="7">
        <v>23692</v>
      </c>
      <c r="L404" s="7">
        <v>0</v>
      </c>
      <c r="M404" s="7"/>
      <c r="N404" s="7">
        <f t="shared" si="49"/>
        <v>23692</v>
      </c>
      <c r="O404" s="7">
        <v>0</v>
      </c>
      <c r="P404" s="16">
        <f t="shared" si="52"/>
        <v>23692</v>
      </c>
      <c r="Q404" s="20">
        <v>0</v>
      </c>
    </row>
    <row r="405" spans="1:17" s="168" customFormat="1" ht="13.5" customHeight="1">
      <c r="A405" s="19"/>
      <c r="B405" s="19" t="s">
        <v>279</v>
      </c>
      <c r="C405" s="282" t="s">
        <v>163</v>
      </c>
      <c r="D405" s="7"/>
      <c r="E405" s="7"/>
      <c r="F405" s="7"/>
      <c r="G405" s="7"/>
      <c r="H405" s="7"/>
      <c r="I405" s="7"/>
      <c r="J405" s="7"/>
      <c r="K405" s="7">
        <v>25000</v>
      </c>
      <c r="L405" s="7">
        <v>0</v>
      </c>
      <c r="M405" s="7"/>
      <c r="N405" s="7">
        <f t="shared" si="49"/>
        <v>25000</v>
      </c>
      <c r="O405" s="7">
        <v>0</v>
      </c>
      <c r="P405" s="16">
        <f t="shared" si="52"/>
        <v>25000</v>
      </c>
      <c r="Q405" s="20">
        <v>0</v>
      </c>
    </row>
    <row r="406" spans="1:17" s="168" customFormat="1" ht="13.5" customHeight="1">
      <c r="A406" s="416" t="s">
        <v>45</v>
      </c>
      <c r="B406" s="293"/>
      <c r="C406" s="417" t="s">
        <v>315</v>
      </c>
      <c r="D406" s="288"/>
      <c r="E406" s="288"/>
      <c r="F406" s="288"/>
      <c r="G406" s="288"/>
      <c r="H406" s="288"/>
      <c r="I406" s="288"/>
      <c r="J406" s="288"/>
      <c r="K406" s="418">
        <f>K407+K408+K409+K410+K411+K412+K413+K414+K415+K416+K417+K418+K419+K420+K421+K422</f>
        <v>361411</v>
      </c>
      <c r="L406" s="418">
        <f>L407+L408+L409+L410+L411+L412+L413+L414+L415+L416+L417+L418+L419+L420+L421+L422</f>
        <v>452</v>
      </c>
      <c r="M406" s="418">
        <f>M407+M408+M409+M410+M411+M412+M413+M414+M415+M416+M417+M418+M419+M420+M421+M422</f>
        <v>35473</v>
      </c>
      <c r="N406" s="418">
        <f t="shared" si="49"/>
        <v>326390</v>
      </c>
      <c r="O406" s="418"/>
      <c r="P406" s="418">
        <f t="shared" si="52"/>
        <v>326390</v>
      </c>
      <c r="Q406" s="419"/>
    </row>
    <row r="407" spans="1:17" s="168" customFormat="1" ht="13.5" customHeight="1">
      <c r="A407" s="413"/>
      <c r="B407" s="413" t="s">
        <v>52</v>
      </c>
      <c r="C407" s="414" t="s">
        <v>455</v>
      </c>
      <c r="D407" s="307"/>
      <c r="E407" s="307"/>
      <c r="F407" s="307"/>
      <c r="G407" s="307"/>
      <c r="H407" s="307"/>
      <c r="I407" s="307"/>
      <c r="J407" s="307"/>
      <c r="K407" s="307">
        <v>11745</v>
      </c>
      <c r="L407" s="307">
        <v>0</v>
      </c>
      <c r="M407" s="307"/>
      <c r="N407" s="7">
        <f t="shared" si="49"/>
        <v>11745</v>
      </c>
      <c r="O407" s="307"/>
      <c r="P407" s="16">
        <f t="shared" si="52"/>
        <v>11745</v>
      </c>
      <c r="Q407" s="415"/>
    </row>
    <row r="408" spans="1:17" s="168" customFormat="1" ht="13.5" customHeight="1">
      <c r="A408" s="413"/>
      <c r="B408" s="413" t="s">
        <v>53</v>
      </c>
      <c r="C408" s="414" t="s">
        <v>455</v>
      </c>
      <c r="D408" s="307"/>
      <c r="E408" s="307"/>
      <c r="F408" s="307"/>
      <c r="G408" s="307"/>
      <c r="H408" s="307"/>
      <c r="I408" s="307"/>
      <c r="J408" s="307"/>
      <c r="K408" s="307">
        <v>3915</v>
      </c>
      <c r="L408" s="307">
        <v>0</v>
      </c>
      <c r="M408" s="307"/>
      <c r="N408" s="7">
        <f t="shared" si="49"/>
        <v>3915</v>
      </c>
      <c r="O408" s="307"/>
      <c r="P408" s="16">
        <f t="shared" si="52"/>
        <v>3915</v>
      </c>
      <c r="Q408" s="415"/>
    </row>
    <row r="409" spans="1:17" s="168" customFormat="1" ht="13.5" customHeight="1">
      <c r="A409" s="413"/>
      <c r="B409" s="413" t="s">
        <v>46</v>
      </c>
      <c r="C409" s="414" t="s">
        <v>56</v>
      </c>
      <c r="D409" s="307"/>
      <c r="E409" s="307"/>
      <c r="F409" s="307"/>
      <c r="G409" s="307"/>
      <c r="H409" s="307"/>
      <c r="I409" s="307"/>
      <c r="J409" s="307"/>
      <c r="K409" s="307">
        <v>21447</v>
      </c>
      <c r="L409" s="307">
        <v>0</v>
      </c>
      <c r="M409" s="307">
        <v>3016</v>
      </c>
      <c r="N409" s="7">
        <f t="shared" si="49"/>
        <v>18431</v>
      </c>
      <c r="O409" s="307"/>
      <c r="P409" s="16">
        <f t="shared" si="52"/>
        <v>18431</v>
      </c>
      <c r="Q409" s="415"/>
    </row>
    <row r="410" spans="1:17" s="168" customFormat="1" ht="13.5" customHeight="1">
      <c r="A410" s="413"/>
      <c r="B410" s="413" t="s">
        <v>47</v>
      </c>
      <c r="C410" s="414" t="s">
        <v>56</v>
      </c>
      <c r="D410" s="307"/>
      <c r="E410" s="307"/>
      <c r="F410" s="307"/>
      <c r="G410" s="307"/>
      <c r="H410" s="307"/>
      <c r="I410" s="307"/>
      <c r="J410" s="307"/>
      <c r="K410" s="307">
        <v>7149</v>
      </c>
      <c r="L410" s="307">
        <v>0</v>
      </c>
      <c r="M410" s="307">
        <v>1005</v>
      </c>
      <c r="N410" s="7">
        <f t="shared" si="49"/>
        <v>6144</v>
      </c>
      <c r="O410" s="307"/>
      <c r="P410" s="16">
        <f t="shared" si="52"/>
        <v>6144</v>
      </c>
      <c r="Q410" s="415"/>
    </row>
    <row r="411" spans="1:17" s="168" customFormat="1" ht="13.5" customHeight="1">
      <c r="A411" s="413"/>
      <c r="B411" s="413" t="s">
        <v>48</v>
      </c>
      <c r="C411" s="414" t="s">
        <v>57</v>
      </c>
      <c r="D411" s="307"/>
      <c r="E411" s="307"/>
      <c r="F411" s="307"/>
      <c r="G411" s="307"/>
      <c r="H411" s="307"/>
      <c r="I411" s="307"/>
      <c r="J411" s="307"/>
      <c r="K411" s="307">
        <v>8397</v>
      </c>
      <c r="L411" s="307">
        <v>368</v>
      </c>
      <c r="M411" s="307"/>
      <c r="N411" s="7">
        <f t="shared" si="49"/>
        <v>8765</v>
      </c>
      <c r="O411" s="307"/>
      <c r="P411" s="16">
        <f t="shared" si="52"/>
        <v>8765</v>
      </c>
      <c r="Q411" s="415"/>
    </row>
    <row r="412" spans="1:17" s="168" customFormat="1" ht="13.5" customHeight="1">
      <c r="A412" s="413"/>
      <c r="B412" s="413" t="s">
        <v>49</v>
      </c>
      <c r="C412" s="414" t="s">
        <v>57</v>
      </c>
      <c r="D412" s="307"/>
      <c r="E412" s="307"/>
      <c r="F412" s="307"/>
      <c r="G412" s="307"/>
      <c r="H412" s="307"/>
      <c r="I412" s="307"/>
      <c r="J412" s="307"/>
      <c r="K412" s="307">
        <v>2866</v>
      </c>
      <c r="L412" s="307">
        <v>56</v>
      </c>
      <c r="M412" s="307"/>
      <c r="N412" s="7">
        <f t="shared" si="49"/>
        <v>2922</v>
      </c>
      <c r="O412" s="307"/>
      <c r="P412" s="16">
        <f t="shared" si="52"/>
        <v>2922</v>
      </c>
      <c r="Q412" s="415"/>
    </row>
    <row r="413" spans="1:17" s="168" customFormat="1" ht="13.5" customHeight="1">
      <c r="A413" s="413"/>
      <c r="B413" s="413" t="s">
        <v>50</v>
      </c>
      <c r="C413" s="414" t="s">
        <v>58</v>
      </c>
      <c r="D413" s="307"/>
      <c r="E413" s="307"/>
      <c r="F413" s="307"/>
      <c r="G413" s="307"/>
      <c r="H413" s="307"/>
      <c r="I413" s="307"/>
      <c r="J413" s="307"/>
      <c r="K413" s="307">
        <v>1229</v>
      </c>
      <c r="L413" s="307">
        <v>26</v>
      </c>
      <c r="M413" s="307"/>
      <c r="N413" s="7">
        <f t="shared" si="49"/>
        <v>1255</v>
      </c>
      <c r="O413" s="307"/>
      <c r="P413" s="16">
        <f t="shared" si="52"/>
        <v>1255</v>
      </c>
      <c r="Q413" s="415"/>
    </row>
    <row r="414" spans="1:17" s="168" customFormat="1" ht="13.5" customHeight="1">
      <c r="A414" s="413"/>
      <c r="B414" s="413" t="s">
        <v>51</v>
      </c>
      <c r="C414" s="414" t="s">
        <v>58</v>
      </c>
      <c r="D414" s="307"/>
      <c r="E414" s="307"/>
      <c r="F414" s="307"/>
      <c r="G414" s="307"/>
      <c r="H414" s="307"/>
      <c r="I414" s="307"/>
      <c r="J414" s="307"/>
      <c r="K414" s="307">
        <v>416</v>
      </c>
      <c r="L414" s="307">
        <v>2</v>
      </c>
      <c r="M414" s="307"/>
      <c r="N414" s="7">
        <f t="shared" si="49"/>
        <v>418</v>
      </c>
      <c r="O414" s="307"/>
      <c r="P414" s="16">
        <f t="shared" si="52"/>
        <v>418</v>
      </c>
      <c r="Q414" s="415"/>
    </row>
    <row r="415" spans="1:17" s="168" customFormat="1" ht="13.5" customHeight="1">
      <c r="A415" s="413"/>
      <c r="B415" s="413" t="s">
        <v>518</v>
      </c>
      <c r="C415" s="414" t="s">
        <v>106</v>
      </c>
      <c r="D415" s="307"/>
      <c r="E415" s="307"/>
      <c r="F415" s="307"/>
      <c r="G415" s="307"/>
      <c r="H415" s="307"/>
      <c r="I415" s="307"/>
      <c r="J415" s="307"/>
      <c r="K415" s="307">
        <v>53322</v>
      </c>
      <c r="L415" s="307">
        <v>0</v>
      </c>
      <c r="M415" s="307">
        <v>6923</v>
      </c>
      <c r="N415" s="7">
        <f t="shared" si="49"/>
        <v>46399</v>
      </c>
      <c r="O415" s="307"/>
      <c r="P415" s="16">
        <f t="shared" si="52"/>
        <v>46399</v>
      </c>
      <c r="Q415" s="415"/>
    </row>
    <row r="416" spans="1:17" s="168" customFormat="1" ht="13.5" customHeight="1">
      <c r="A416" s="413"/>
      <c r="B416" s="413" t="s">
        <v>519</v>
      </c>
      <c r="C416" s="414" t="s">
        <v>106</v>
      </c>
      <c r="D416" s="307"/>
      <c r="E416" s="307"/>
      <c r="F416" s="307"/>
      <c r="G416" s="307"/>
      <c r="H416" s="307"/>
      <c r="I416" s="307"/>
      <c r="J416" s="307"/>
      <c r="K416" s="307">
        <v>17774</v>
      </c>
      <c r="L416" s="307">
        <v>0</v>
      </c>
      <c r="M416" s="307">
        <v>2308</v>
      </c>
      <c r="N416" s="7">
        <f t="shared" si="49"/>
        <v>15466</v>
      </c>
      <c r="O416" s="307"/>
      <c r="P416" s="16">
        <f t="shared" si="52"/>
        <v>15466</v>
      </c>
      <c r="Q416" s="415"/>
    </row>
    <row r="417" spans="1:17" s="168" customFormat="1" ht="13.5" customHeight="1">
      <c r="A417" s="413"/>
      <c r="B417" s="413" t="s">
        <v>520</v>
      </c>
      <c r="C417" s="414" t="s">
        <v>248</v>
      </c>
      <c r="D417" s="307"/>
      <c r="E417" s="307"/>
      <c r="F417" s="307"/>
      <c r="G417" s="307"/>
      <c r="H417" s="307"/>
      <c r="I417" s="307"/>
      <c r="J417" s="307"/>
      <c r="K417" s="307">
        <v>16416</v>
      </c>
      <c r="L417" s="307">
        <v>0</v>
      </c>
      <c r="M417" s="307">
        <v>3819</v>
      </c>
      <c r="N417" s="7">
        <f t="shared" si="49"/>
        <v>12597</v>
      </c>
      <c r="O417" s="307"/>
      <c r="P417" s="16">
        <f t="shared" si="52"/>
        <v>12597</v>
      </c>
      <c r="Q417" s="415"/>
    </row>
    <row r="418" spans="1:17" s="168" customFormat="1" ht="13.5" customHeight="1">
      <c r="A418" s="413"/>
      <c r="B418" s="413" t="s">
        <v>523</v>
      </c>
      <c r="C418" s="414" t="s">
        <v>248</v>
      </c>
      <c r="D418" s="307"/>
      <c r="E418" s="307"/>
      <c r="F418" s="307"/>
      <c r="G418" s="307"/>
      <c r="H418" s="307"/>
      <c r="I418" s="307"/>
      <c r="J418" s="307"/>
      <c r="K418" s="307">
        <v>5473</v>
      </c>
      <c r="L418" s="307">
        <v>0</v>
      </c>
      <c r="M418" s="307">
        <v>1273</v>
      </c>
      <c r="N418" s="7">
        <f t="shared" si="49"/>
        <v>4200</v>
      </c>
      <c r="O418" s="307"/>
      <c r="P418" s="16">
        <f t="shared" si="52"/>
        <v>4200</v>
      </c>
      <c r="Q418" s="415"/>
    </row>
    <row r="419" spans="1:17" s="168" customFormat="1" ht="13.5" customHeight="1">
      <c r="A419" s="413"/>
      <c r="B419" s="413" t="s">
        <v>54</v>
      </c>
      <c r="C419" s="414" t="s">
        <v>408</v>
      </c>
      <c r="D419" s="307"/>
      <c r="E419" s="307"/>
      <c r="F419" s="307"/>
      <c r="G419" s="307"/>
      <c r="H419" s="307"/>
      <c r="I419" s="307"/>
      <c r="J419" s="307"/>
      <c r="K419" s="307">
        <v>4950</v>
      </c>
      <c r="L419" s="307">
        <v>0</v>
      </c>
      <c r="M419" s="307"/>
      <c r="N419" s="7">
        <f t="shared" si="49"/>
        <v>4950</v>
      </c>
      <c r="O419" s="307"/>
      <c r="P419" s="16">
        <f t="shared" si="52"/>
        <v>4950</v>
      </c>
      <c r="Q419" s="415"/>
    </row>
    <row r="420" spans="1:17" s="168" customFormat="1" ht="13.5" customHeight="1">
      <c r="A420" s="413"/>
      <c r="B420" s="413" t="s">
        <v>55</v>
      </c>
      <c r="C420" s="414" t="s">
        <v>408</v>
      </c>
      <c r="D420" s="307"/>
      <c r="E420" s="307"/>
      <c r="F420" s="307"/>
      <c r="G420" s="307"/>
      <c r="H420" s="307"/>
      <c r="I420" s="307"/>
      <c r="J420" s="307"/>
      <c r="K420" s="307">
        <v>1650</v>
      </c>
      <c r="L420" s="307">
        <v>0</v>
      </c>
      <c r="M420" s="307"/>
      <c r="N420" s="7">
        <f t="shared" si="49"/>
        <v>1650</v>
      </c>
      <c r="O420" s="307"/>
      <c r="P420" s="16">
        <f t="shared" si="52"/>
        <v>1650</v>
      </c>
      <c r="Q420" s="415"/>
    </row>
    <row r="421" spans="1:17" s="168" customFormat="1" ht="13.5" customHeight="1">
      <c r="A421" s="413"/>
      <c r="B421" s="413" t="s">
        <v>521</v>
      </c>
      <c r="C421" s="414" t="s">
        <v>370</v>
      </c>
      <c r="D421" s="307"/>
      <c r="E421" s="307"/>
      <c r="F421" s="307"/>
      <c r="G421" s="307"/>
      <c r="H421" s="307"/>
      <c r="I421" s="307"/>
      <c r="J421" s="307"/>
      <c r="K421" s="307">
        <v>153494</v>
      </c>
      <c r="L421" s="307">
        <v>0</v>
      </c>
      <c r="M421" s="307">
        <v>12846</v>
      </c>
      <c r="N421" s="7">
        <f t="shared" si="49"/>
        <v>140648</v>
      </c>
      <c r="O421" s="307"/>
      <c r="P421" s="16">
        <f t="shared" si="52"/>
        <v>140648</v>
      </c>
      <c r="Q421" s="415"/>
    </row>
    <row r="422" spans="1:17" s="168" customFormat="1" ht="13.5" customHeight="1">
      <c r="A422" s="413"/>
      <c r="B422" s="413" t="s">
        <v>522</v>
      </c>
      <c r="C422" s="414" t="s">
        <v>370</v>
      </c>
      <c r="D422" s="307"/>
      <c r="E422" s="307"/>
      <c r="F422" s="307"/>
      <c r="G422" s="307"/>
      <c r="H422" s="307"/>
      <c r="I422" s="307"/>
      <c r="J422" s="307"/>
      <c r="K422" s="307">
        <v>51168</v>
      </c>
      <c r="L422" s="307">
        <v>0</v>
      </c>
      <c r="M422" s="307">
        <v>4283</v>
      </c>
      <c r="N422" s="307">
        <f t="shared" si="49"/>
        <v>46885</v>
      </c>
      <c r="O422" s="307"/>
      <c r="P422" s="173">
        <f t="shared" si="52"/>
        <v>46885</v>
      </c>
      <c r="Q422" s="415"/>
    </row>
    <row r="423" spans="1:17" s="167" customFormat="1" ht="22.5" customHeight="1">
      <c r="A423" s="165" t="s">
        <v>471</v>
      </c>
      <c r="B423" s="165"/>
      <c r="C423" s="166" t="s">
        <v>472</v>
      </c>
      <c r="D423" s="159" t="e">
        <f>D424+D440+D455+#REF!+D482</f>
        <v>#REF!</v>
      </c>
      <c r="E423" s="159" t="e">
        <f>E424+E440+E455+#REF!+E482+#REF!+E487</f>
        <v>#REF!</v>
      </c>
      <c r="F423" s="159" t="e">
        <f>F424+F440+F455+F482+#REF!+F487</f>
        <v>#REF!</v>
      </c>
      <c r="G423" s="159" t="e">
        <f>G424+G440+G455+G482+#REF!+G487</f>
        <v>#REF!</v>
      </c>
      <c r="H423" s="159" t="e">
        <f>H424+#REF!+H440+H455+H482+H487+H472</f>
        <v>#REF!</v>
      </c>
      <c r="I423" s="159" t="e">
        <f>I424+#REF!+I440+I455+I482+I487+I472</f>
        <v>#REF!</v>
      </c>
      <c r="J423" s="159" t="e">
        <f>J424+#REF!+J440+J455+J482+J487+J472</f>
        <v>#REF!</v>
      </c>
      <c r="K423" s="159">
        <f>K424+K440+K455+K482+K487+K472</f>
        <v>4219000</v>
      </c>
      <c r="L423" s="159">
        <f>L424+L440+L455+L482+L487+L472</f>
        <v>59126</v>
      </c>
      <c r="M423" s="159">
        <f>M424+M440+M455+M482+M487+M472</f>
        <v>59126</v>
      </c>
      <c r="N423" s="159">
        <f t="shared" si="49"/>
        <v>4219000</v>
      </c>
      <c r="O423" s="159">
        <f>O424+O440+O455+O482+O487+O472</f>
        <v>0</v>
      </c>
      <c r="P423" s="159">
        <f>P424+P440+P455+P482+P487+P472</f>
        <v>4217500</v>
      </c>
      <c r="Q423" s="159">
        <f>Q424+Q440+Q455+Q482+Q487+Q472</f>
        <v>1500</v>
      </c>
    </row>
    <row r="424" spans="1:17" s="168" customFormat="1" ht="24" customHeight="1">
      <c r="A424" s="183" t="s">
        <v>473</v>
      </c>
      <c r="B424" s="293"/>
      <c r="C424" s="291" t="s">
        <v>474</v>
      </c>
      <c r="D424" s="154" t="e">
        <f>D426+D427+D428+#REF!</f>
        <v>#REF!</v>
      </c>
      <c r="E424" s="154" t="e">
        <f>E426+E427+E428+E429+E425+E430+E431+E432+#REF!+E434+E435+#REF!+E437+#REF!</f>
        <v>#REF!</v>
      </c>
      <c r="F424" s="154" t="e">
        <f>F426+F427+F428+F429+F425+F430+F431+F432+#REF!+F434+F435+#REF!+F437+#REF!</f>
        <v>#REF!</v>
      </c>
      <c r="G424" s="154" t="e">
        <f>G426+G427+G428+G429+G425+G430+G431+G432+#REF!+G434+G435+#REF!+G437+#REF!</f>
        <v>#REF!</v>
      </c>
      <c r="H424" s="154" t="e">
        <f>H426+H427+H428+H429+H430+H431+H432+#REF!+H434+H435+#REF!+H437+#REF!+#REF!</f>
        <v>#REF!</v>
      </c>
      <c r="I424" s="154" t="e">
        <f>I426+I427+I428+I429+I430+I431+I432+#REF!+I434+I435+#REF!+I437+#REF!+#REF!</f>
        <v>#REF!</v>
      </c>
      <c r="J424" s="154" t="e">
        <f>J426+J427+J428+J429+J430+J431+J432+#REF!+J434+J435+#REF!+J437+#REF!+#REF!</f>
        <v>#REF!</v>
      </c>
      <c r="K424" s="154">
        <f>SUM(K425:K439)</f>
        <v>1456780</v>
      </c>
      <c r="L424" s="154">
        <f>SUM(L425:L439)</f>
        <v>0</v>
      </c>
      <c r="M424" s="154">
        <f>SUM(M425:M439)</f>
        <v>0</v>
      </c>
      <c r="N424" s="154">
        <f t="shared" si="49"/>
        <v>1456780</v>
      </c>
      <c r="O424" s="154">
        <f>SUM(O425:O437)</f>
        <v>0</v>
      </c>
      <c r="P424" s="154">
        <f>SUM(P425:P439)</f>
        <v>1456780</v>
      </c>
      <c r="Q424" s="154">
        <f>SUM(Q425:Q437)</f>
        <v>0</v>
      </c>
    </row>
    <row r="425" spans="1:17" s="168" customFormat="1" ht="16.5" customHeight="1">
      <c r="A425" s="19"/>
      <c r="B425" s="31" t="s">
        <v>220</v>
      </c>
      <c r="C425" s="282" t="s">
        <v>417</v>
      </c>
      <c r="D425" s="7"/>
      <c r="E425" s="7">
        <v>32821</v>
      </c>
      <c r="F425" s="7">
        <v>0</v>
      </c>
      <c r="G425" s="7">
        <v>0</v>
      </c>
      <c r="H425" s="6"/>
      <c r="I425" s="6"/>
      <c r="J425" s="6"/>
      <c r="K425" s="7">
        <v>0</v>
      </c>
      <c r="L425" s="7"/>
      <c r="M425" s="6"/>
      <c r="N425" s="7">
        <f t="shared" si="49"/>
        <v>0</v>
      </c>
      <c r="O425" s="7">
        <v>0</v>
      </c>
      <c r="P425" s="20">
        <f>N425</f>
        <v>0</v>
      </c>
      <c r="Q425" s="20">
        <v>0</v>
      </c>
    </row>
    <row r="426" spans="1:17" s="168" customFormat="1" ht="15.75" customHeight="1">
      <c r="A426" s="19"/>
      <c r="B426" s="19" t="s">
        <v>237</v>
      </c>
      <c r="C426" s="282" t="s">
        <v>238</v>
      </c>
      <c r="D426" s="7">
        <v>1270889</v>
      </c>
      <c r="E426" s="7">
        <v>1044649</v>
      </c>
      <c r="F426" s="7">
        <v>19143</v>
      </c>
      <c r="G426" s="7">
        <v>45000</v>
      </c>
      <c r="H426" s="7">
        <v>562350</v>
      </c>
      <c r="I426" s="7">
        <v>0</v>
      </c>
      <c r="J426" s="7">
        <v>0</v>
      </c>
      <c r="K426" s="7">
        <v>667017</v>
      </c>
      <c r="L426" s="7">
        <v>0</v>
      </c>
      <c r="M426" s="7"/>
      <c r="N426" s="7">
        <f t="shared" si="49"/>
        <v>667017</v>
      </c>
      <c r="O426" s="7">
        <v>0</v>
      </c>
      <c r="P426" s="20">
        <f aca="true" t="shared" si="53" ref="P426:P439">N426</f>
        <v>667017</v>
      </c>
      <c r="Q426" s="20">
        <v>0</v>
      </c>
    </row>
    <row r="427" spans="1:17" s="168" customFormat="1" ht="14.25" customHeight="1">
      <c r="A427" s="19"/>
      <c r="B427" s="19" t="s">
        <v>241</v>
      </c>
      <c r="C427" s="282" t="s">
        <v>242</v>
      </c>
      <c r="D427" s="7">
        <v>95035</v>
      </c>
      <c r="E427" s="7">
        <v>92025</v>
      </c>
      <c r="F427" s="7">
        <v>0</v>
      </c>
      <c r="G427" s="7">
        <v>0</v>
      </c>
      <c r="H427" s="7">
        <v>46308</v>
      </c>
      <c r="I427" s="7">
        <v>0</v>
      </c>
      <c r="J427" s="7">
        <v>0</v>
      </c>
      <c r="K427" s="7">
        <v>42690</v>
      </c>
      <c r="L427" s="7"/>
      <c r="M427" s="7">
        <v>0</v>
      </c>
      <c r="N427" s="7">
        <f t="shared" si="49"/>
        <v>42690</v>
      </c>
      <c r="O427" s="7">
        <v>0</v>
      </c>
      <c r="P427" s="20">
        <f t="shared" si="53"/>
        <v>42690</v>
      </c>
      <c r="Q427" s="20">
        <v>0</v>
      </c>
    </row>
    <row r="428" spans="1:17" s="168" customFormat="1" ht="13.5" customHeight="1">
      <c r="A428" s="19"/>
      <c r="B428" s="31" t="s">
        <v>270</v>
      </c>
      <c r="C428" s="282" t="s">
        <v>313</v>
      </c>
      <c r="D428" s="7">
        <v>274033</v>
      </c>
      <c r="E428" s="7">
        <v>199495</v>
      </c>
      <c r="F428" s="7">
        <v>2349</v>
      </c>
      <c r="G428" s="7">
        <v>8046</v>
      </c>
      <c r="H428" s="7">
        <v>107000</v>
      </c>
      <c r="I428" s="7">
        <v>0</v>
      </c>
      <c r="J428" s="7">
        <v>0</v>
      </c>
      <c r="K428" s="7">
        <v>127600</v>
      </c>
      <c r="L428" s="7"/>
      <c r="M428" s="7"/>
      <c r="N428" s="7">
        <f t="shared" si="49"/>
        <v>127600</v>
      </c>
      <c r="O428" s="7">
        <v>0</v>
      </c>
      <c r="P428" s="20">
        <f t="shared" si="53"/>
        <v>127600</v>
      </c>
      <c r="Q428" s="20">
        <v>0</v>
      </c>
    </row>
    <row r="429" spans="1:17" s="168" customFormat="1" ht="14.25" customHeight="1">
      <c r="A429" s="19"/>
      <c r="B429" s="31" t="s">
        <v>245</v>
      </c>
      <c r="C429" s="282" t="s">
        <v>246</v>
      </c>
      <c r="D429" s="7"/>
      <c r="E429" s="7">
        <v>27615</v>
      </c>
      <c r="F429" s="7">
        <v>321</v>
      </c>
      <c r="G429" s="7">
        <v>1102</v>
      </c>
      <c r="H429" s="7">
        <v>14660</v>
      </c>
      <c r="I429" s="7">
        <v>0</v>
      </c>
      <c r="J429" s="7">
        <v>0</v>
      </c>
      <c r="K429" s="7">
        <v>17000</v>
      </c>
      <c r="L429" s="7"/>
      <c r="M429" s="7"/>
      <c r="N429" s="7">
        <f t="shared" si="49"/>
        <v>17000</v>
      </c>
      <c r="O429" s="7">
        <v>0</v>
      </c>
      <c r="P429" s="20">
        <f t="shared" si="53"/>
        <v>17000</v>
      </c>
      <c r="Q429" s="20">
        <v>0</v>
      </c>
    </row>
    <row r="430" spans="1:17" s="168" customFormat="1" ht="14.25" customHeight="1">
      <c r="A430" s="19"/>
      <c r="B430" s="31" t="s">
        <v>247</v>
      </c>
      <c r="C430" s="282" t="s">
        <v>414</v>
      </c>
      <c r="D430" s="7"/>
      <c r="E430" s="7">
        <v>123652</v>
      </c>
      <c r="F430" s="7">
        <v>12612</v>
      </c>
      <c r="G430" s="7">
        <v>0</v>
      </c>
      <c r="H430" s="7">
        <v>114868</v>
      </c>
      <c r="I430" s="7">
        <v>0</v>
      </c>
      <c r="J430" s="7">
        <v>0</v>
      </c>
      <c r="K430" s="7">
        <v>74057</v>
      </c>
      <c r="L430" s="7"/>
      <c r="M430" s="7">
        <v>0</v>
      </c>
      <c r="N430" s="7">
        <f t="shared" si="49"/>
        <v>74057</v>
      </c>
      <c r="O430" s="7">
        <v>0</v>
      </c>
      <c r="P430" s="20">
        <f t="shared" si="53"/>
        <v>74057</v>
      </c>
      <c r="Q430" s="20">
        <v>0</v>
      </c>
    </row>
    <row r="431" spans="1:17" s="168" customFormat="1" ht="15" customHeight="1">
      <c r="A431" s="19"/>
      <c r="B431" s="31" t="s">
        <v>364</v>
      </c>
      <c r="C431" s="282" t="s">
        <v>456</v>
      </c>
      <c r="D431" s="7"/>
      <c r="E431" s="7">
        <v>145078</v>
      </c>
      <c r="F431" s="7">
        <v>0</v>
      </c>
      <c r="G431" s="7">
        <v>20000</v>
      </c>
      <c r="H431" s="7">
        <v>57000</v>
      </c>
      <c r="I431" s="7">
        <v>0</v>
      </c>
      <c r="J431" s="7">
        <v>0</v>
      </c>
      <c r="K431" s="7">
        <v>65000</v>
      </c>
      <c r="L431" s="7"/>
      <c r="M431" s="7"/>
      <c r="N431" s="7">
        <f t="shared" si="49"/>
        <v>65000</v>
      </c>
      <c r="O431" s="7">
        <v>0</v>
      </c>
      <c r="P431" s="20">
        <f t="shared" si="53"/>
        <v>65000</v>
      </c>
      <c r="Q431" s="20">
        <v>0</v>
      </c>
    </row>
    <row r="432" spans="1:17" s="168" customFormat="1" ht="14.25" customHeight="1">
      <c r="A432" s="19"/>
      <c r="B432" s="31" t="s">
        <v>249</v>
      </c>
      <c r="C432" s="282" t="s">
        <v>368</v>
      </c>
      <c r="D432" s="7"/>
      <c r="E432" s="7">
        <v>21328</v>
      </c>
      <c r="F432" s="7">
        <v>3000</v>
      </c>
      <c r="G432" s="7">
        <v>0</v>
      </c>
      <c r="H432" s="7">
        <v>17200</v>
      </c>
      <c r="I432" s="7">
        <v>0</v>
      </c>
      <c r="J432" s="7">
        <v>0</v>
      </c>
      <c r="K432" s="7">
        <v>17500</v>
      </c>
      <c r="L432" s="7"/>
      <c r="M432" s="7"/>
      <c r="N432" s="7">
        <f t="shared" si="49"/>
        <v>17500</v>
      </c>
      <c r="O432" s="7">
        <v>0</v>
      </c>
      <c r="P432" s="20">
        <f t="shared" si="53"/>
        <v>17500</v>
      </c>
      <c r="Q432" s="20">
        <v>0</v>
      </c>
    </row>
    <row r="433" spans="1:17" s="168" customFormat="1" ht="14.25" customHeight="1">
      <c r="A433" s="19"/>
      <c r="B433" s="31" t="s">
        <v>251</v>
      </c>
      <c r="C433" s="282" t="s">
        <v>369</v>
      </c>
      <c r="D433" s="7"/>
      <c r="E433" s="7"/>
      <c r="F433" s="7"/>
      <c r="G433" s="7"/>
      <c r="H433" s="7"/>
      <c r="I433" s="7"/>
      <c r="J433" s="7"/>
      <c r="K433" s="7">
        <v>12810</v>
      </c>
      <c r="L433" s="7">
        <v>0</v>
      </c>
      <c r="M433" s="7"/>
      <c r="N433" s="7">
        <f t="shared" si="49"/>
        <v>12810</v>
      </c>
      <c r="O433" s="7"/>
      <c r="P433" s="20">
        <f t="shared" si="53"/>
        <v>12810</v>
      </c>
      <c r="Q433" s="20"/>
    </row>
    <row r="434" spans="1:17" s="168" customFormat="1" ht="15" customHeight="1">
      <c r="A434" s="19"/>
      <c r="B434" s="31" t="s">
        <v>253</v>
      </c>
      <c r="C434" s="282" t="s">
        <v>370</v>
      </c>
      <c r="D434" s="7"/>
      <c r="E434" s="7">
        <v>22737</v>
      </c>
      <c r="F434" s="7">
        <v>4000</v>
      </c>
      <c r="G434" s="7">
        <v>0</v>
      </c>
      <c r="H434" s="7">
        <v>27250</v>
      </c>
      <c r="I434" s="7">
        <v>0</v>
      </c>
      <c r="J434" s="7">
        <v>0</v>
      </c>
      <c r="K434" s="7">
        <v>26390</v>
      </c>
      <c r="L434" s="7"/>
      <c r="M434" s="7">
        <v>0</v>
      </c>
      <c r="N434" s="7">
        <f t="shared" si="49"/>
        <v>26390</v>
      </c>
      <c r="O434" s="7">
        <v>0</v>
      </c>
      <c r="P434" s="20">
        <f t="shared" si="53"/>
        <v>26390</v>
      </c>
      <c r="Q434" s="20">
        <v>0</v>
      </c>
    </row>
    <row r="435" spans="1:17" s="168" customFormat="1" ht="14.25" customHeight="1">
      <c r="A435" s="19"/>
      <c r="B435" s="31" t="s">
        <v>255</v>
      </c>
      <c r="C435" s="282" t="s">
        <v>256</v>
      </c>
      <c r="D435" s="7"/>
      <c r="E435" s="7">
        <v>2384</v>
      </c>
      <c r="F435" s="7">
        <v>0</v>
      </c>
      <c r="G435" s="7">
        <v>800</v>
      </c>
      <c r="H435" s="7">
        <v>300</v>
      </c>
      <c r="I435" s="7">
        <v>0</v>
      </c>
      <c r="J435" s="7">
        <v>0</v>
      </c>
      <c r="K435" s="7">
        <v>3000</v>
      </c>
      <c r="L435" s="7"/>
      <c r="M435" s="7"/>
      <c r="N435" s="7">
        <f t="shared" si="49"/>
        <v>3000</v>
      </c>
      <c r="O435" s="7">
        <v>0</v>
      </c>
      <c r="P435" s="20">
        <f t="shared" si="53"/>
        <v>3000</v>
      </c>
      <c r="Q435" s="20">
        <v>0</v>
      </c>
    </row>
    <row r="436" spans="1:17" s="168" customFormat="1" ht="14.25" customHeight="1">
      <c r="A436" s="19"/>
      <c r="B436" s="31" t="s">
        <v>257</v>
      </c>
      <c r="C436" s="282" t="s">
        <v>258</v>
      </c>
      <c r="D436" s="7"/>
      <c r="E436" s="7"/>
      <c r="F436" s="7"/>
      <c r="G436" s="7"/>
      <c r="H436" s="7"/>
      <c r="I436" s="7"/>
      <c r="J436" s="7"/>
      <c r="K436" s="7">
        <v>842</v>
      </c>
      <c r="L436" s="7"/>
      <c r="M436" s="7">
        <v>0</v>
      </c>
      <c r="N436" s="7">
        <f t="shared" si="49"/>
        <v>842</v>
      </c>
      <c r="O436" s="7">
        <v>0</v>
      </c>
      <c r="P436" s="20">
        <f t="shared" si="53"/>
        <v>842</v>
      </c>
      <c r="Q436" s="20">
        <v>0</v>
      </c>
    </row>
    <row r="437" spans="1:17" s="168" customFormat="1" ht="14.25" customHeight="1">
      <c r="A437" s="19"/>
      <c r="B437" s="31" t="s">
        <v>259</v>
      </c>
      <c r="C437" s="282" t="s">
        <v>260</v>
      </c>
      <c r="D437" s="7"/>
      <c r="E437" s="7">
        <v>79227</v>
      </c>
      <c r="F437" s="7">
        <v>0</v>
      </c>
      <c r="G437" s="7">
        <v>0</v>
      </c>
      <c r="H437" s="7">
        <v>31503</v>
      </c>
      <c r="I437" s="7">
        <v>0</v>
      </c>
      <c r="J437" s="7">
        <v>0</v>
      </c>
      <c r="K437" s="7">
        <v>35318</v>
      </c>
      <c r="L437" s="7"/>
      <c r="M437" s="7"/>
      <c r="N437" s="7">
        <f t="shared" si="49"/>
        <v>35318</v>
      </c>
      <c r="O437" s="7">
        <v>0</v>
      </c>
      <c r="P437" s="20">
        <f t="shared" si="53"/>
        <v>35318</v>
      </c>
      <c r="Q437" s="20">
        <v>0</v>
      </c>
    </row>
    <row r="438" spans="1:17" s="168" customFormat="1" ht="14.25" customHeight="1">
      <c r="A438" s="19"/>
      <c r="B438" s="31" t="s">
        <v>275</v>
      </c>
      <c r="C438" s="282" t="s">
        <v>276</v>
      </c>
      <c r="D438" s="7"/>
      <c r="E438" s="7"/>
      <c r="F438" s="7"/>
      <c r="G438" s="7"/>
      <c r="H438" s="7"/>
      <c r="I438" s="7"/>
      <c r="J438" s="7"/>
      <c r="K438" s="7">
        <v>358</v>
      </c>
      <c r="L438" s="7">
        <v>0</v>
      </c>
      <c r="M438" s="7"/>
      <c r="N438" s="7">
        <f t="shared" si="49"/>
        <v>358</v>
      </c>
      <c r="O438" s="7"/>
      <c r="P438" s="20">
        <f t="shared" si="53"/>
        <v>358</v>
      </c>
      <c r="Q438" s="20"/>
    </row>
    <row r="439" spans="1:17" s="168" customFormat="1" ht="14.25" customHeight="1">
      <c r="A439" s="19"/>
      <c r="B439" s="31" t="s">
        <v>277</v>
      </c>
      <c r="C439" s="282" t="s">
        <v>578</v>
      </c>
      <c r="D439" s="7"/>
      <c r="E439" s="7"/>
      <c r="F439" s="7"/>
      <c r="G439" s="7"/>
      <c r="H439" s="7"/>
      <c r="I439" s="7"/>
      <c r="J439" s="7"/>
      <c r="K439" s="7">
        <v>367198</v>
      </c>
      <c r="L439" s="7">
        <v>0</v>
      </c>
      <c r="M439" s="7">
        <v>0</v>
      </c>
      <c r="N439" s="7">
        <f t="shared" si="49"/>
        <v>367198</v>
      </c>
      <c r="O439" s="7">
        <v>0</v>
      </c>
      <c r="P439" s="20">
        <f t="shared" si="53"/>
        <v>367198</v>
      </c>
      <c r="Q439" s="20">
        <v>0</v>
      </c>
    </row>
    <row r="440" spans="1:17" s="168" customFormat="1" ht="19.5" customHeight="1">
      <c r="A440" s="183" t="s">
        <v>476</v>
      </c>
      <c r="B440" s="293"/>
      <c r="C440" s="182" t="s">
        <v>477</v>
      </c>
      <c r="D440" s="154" t="e">
        <f>D442+D443+D444+#REF!</f>
        <v>#REF!</v>
      </c>
      <c r="E440" s="154" t="e">
        <f>E442+E443+E444+E445+E441+E447+E448+E449+#REF!+E450+E452+#REF!+E453</f>
        <v>#REF!</v>
      </c>
      <c r="F440" s="154" t="e">
        <f>F442+F443+F444+F445+F441+F447+F448+F449+#REF!+F450+F452+#REF!+F453</f>
        <v>#REF!</v>
      </c>
      <c r="G440" s="154" t="e">
        <f>G442+G443+G444+G445+G441+G447+G448+G449+#REF!+G450+G452+#REF!+G453</f>
        <v>#REF!</v>
      </c>
      <c r="H440" s="154" t="e">
        <f>H442+H443+H444+H445+H441+H447+H448+H449+H450+H452+#REF!+H453+H454</f>
        <v>#REF!</v>
      </c>
      <c r="I440" s="154" t="e">
        <f>I442+I443+I444+I445+I441+I447+I448+I449+I450+I452+#REF!+I453+I454</f>
        <v>#REF!</v>
      </c>
      <c r="J440" s="154" t="e">
        <f>J442+J443+J444+J445+J441+J447+J448+J449+J450+J452+#REF!+J453+J454</f>
        <v>#REF!</v>
      </c>
      <c r="K440" s="154">
        <f>SUM(K441:K454)</f>
        <v>416000</v>
      </c>
      <c r="L440" s="154">
        <f>SUM(L441:L454)</f>
        <v>0</v>
      </c>
      <c r="M440" s="154">
        <f>SUM(M441:M454)</f>
        <v>0</v>
      </c>
      <c r="N440" s="154">
        <f aca="true" t="shared" si="54" ref="N440:N493">K440+L440-M440</f>
        <v>416000</v>
      </c>
      <c r="O440" s="154">
        <f>SUM(O441:O454)</f>
        <v>0</v>
      </c>
      <c r="P440" s="154">
        <f>SUM(P441:P454)</f>
        <v>416000</v>
      </c>
      <c r="Q440" s="154">
        <f>SUM(Q441:Q454)</f>
        <v>0</v>
      </c>
    </row>
    <row r="441" spans="1:17" s="168" customFormat="1" ht="14.25" customHeight="1">
      <c r="A441" s="19"/>
      <c r="B441" s="31" t="s">
        <v>220</v>
      </c>
      <c r="C441" s="282" t="s">
        <v>417</v>
      </c>
      <c r="D441" s="7"/>
      <c r="E441" s="7">
        <v>4293</v>
      </c>
      <c r="F441" s="7">
        <v>0</v>
      </c>
      <c r="G441" s="7">
        <v>0</v>
      </c>
      <c r="H441" s="7">
        <v>3580</v>
      </c>
      <c r="I441" s="7">
        <v>0</v>
      </c>
      <c r="J441" s="7">
        <v>0</v>
      </c>
      <c r="K441" s="7">
        <v>0</v>
      </c>
      <c r="L441" s="7"/>
      <c r="M441" s="7"/>
      <c r="N441" s="7">
        <f t="shared" si="54"/>
        <v>0</v>
      </c>
      <c r="O441" s="7">
        <v>0</v>
      </c>
      <c r="P441" s="20">
        <f>N441</f>
        <v>0</v>
      </c>
      <c r="Q441" s="20">
        <v>0</v>
      </c>
    </row>
    <row r="442" spans="1:17" s="168" customFormat="1" ht="14.25" customHeight="1">
      <c r="A442" s="19"/>
      <c r="B442" s="19" t="s">
        <v>237</v>
      </c>
      <c r="C442" s="282" t="s">
        <v>164</v>
      </c>
      <c r="D442" s="7">
        <v>338872</v>
      </c>
      <c r="E442" s="7">
        <v>347249</v>
      </c>
      <c r="F442" s="7">
        <v>4011</v>
      </c>
      <c r="G442" s="7">
        <v>5633</v>
      </c>
      <c r="H442" s="16">
        <v>240145</v>
      </c>
      <c r="I442" s="16">
        <v>0</v>
      </c>
      <c r="J442" s="16">
        <v>0</v>
      </c>
      <c r="K442" s="7">
        <v>283987</v>
      </c>
      <c r="L442" s="7"/>
      <c r="M442" s="16"/>
      <c r="N442" s="7">
        <f t="shared" si="54"/>
        <v>283987</v>
      </c>
      <c r="O442" s="7">
        <v>0</v>
      </c>
      <c r="P442" s="20">
        <f aca="true" t="shared" si="55" ref="P442:P454">N442</f>
        <v>283987</v>
      </c>
      <c r="Q442" s="20">
        <v>0</v>
      </c>
    </row>
    <row r="443" spans="1:17" s="168" customFormat="1" ht="16.5" customHeight="1">
      <c r="A443" s="19"/>
      <c r="B443" s="19" t="s">
        <v>241</v>
      </c>
      <c r="C443" s="282" t="s">
        <v>242</v>
      </c>
      <c r="D443" s="7">
        <v>22404</v>
      </c>
      <c r="E443" s="7">
        <v>26837</v>
      </c>
      <c r="F443" s="7">
        <v>0</v>
      </c>
      <c r="G443" s="7">
        <v>0</v>
      </c>
      <c r="H443" s="7">
        <v>17713</v>
      </c>
      <c r="I443" s="7">
        <v>0</v>
      </c>
      <c r="J443" s="7">
        <v>0</v>
      </c>
      <c r="K443" s="7">
        <v>21997</v>
      </c>
      <c r="L443" s="7"/>
      <c r="M443" s="7">
        <v>0</v>
      </c>
      <c r="N443" s="7">
        <f t="shared" si="54"/>
        <v>21997</v>
      </c>
      <c r="O443" s="7">
        <v>0</v>
      </c>
      <c r="P443" s="20">
        <f t="shared" si="55"/>
        <v>21997</v>
      </c>
      <c r="Q443" s="20">
        <v>0</v>
      </c>
    </row>
    <row r="444" spans="1:17" s="168" customFormat="1" ht="15" customHeight="1">
      <c r="A444" s="19"/>
      <c r="B444" s="31" t="s">
        <v>299</v>
      </c>
      <c r="C444" s="282" t="s">
        <v>313</v>
      </c>
      <c r="D444" s="7">
        <v>73812</v>
      </c>
      <c r="E444" s="7">
        <v>65930</v>
      </c>
      <c r="F444" s="7">
        <v>360</v>
      </c>
      <c r="G444" s="7">
        <v>1005</v>
      </c>
      <c r="H444" s="7">
        <v>45324</v>
      </c>
      <c r="I444" s="7">
        <v>0</v>
      </c>
      <c r="J444" s="7">
        <v>0</v>
      </c>
      <c r="K444" s="7">
        <v>52867</v>
      </c>
      <c r="L444" s="7"/>
      <c r="M444" s="7"/>
      <c r="N444" s="7">
        <f t="shared" si="54"/>
        <v>52867</v>
      </c>
      <c r="O444" s="7">
        <v>0</v>
      </c>
      <c r="P444" s="20">
        <f t="shared" si="55"/>
        <v>52867</v>
      </c>
      <c r="Q444" s="20">
        <v>0</v>
      </c>
    </row>
    <row r="445" spans="1:17" s="168" customFormat="1" ht="14.25" customHeight="1">
      <c r="A445" s="19"/>
      <c r="B445" s="31" t="s">
        <v>245</v>
      </c>
      <c r="C445" s="282" t="s">
        <v>246</v>
      </c>
      <c r="D445" s="7"/>
      <c r="E445" s="7">
        <v>9068</v>
      </c>
      <c r="F445" s="7">
        <v>49</v>
      </c>
      <c r="G445" s="7">
        <v>138</v>
      </c>
      <c r="H445" s="7">
        <v>6263</v>
      </c>
      <c r="I445" s="7">
        <v>0</v>
      </c>
      <c r="J445" s="7">
        <v>0</v>
      </c>
      <c r="K445" s="7">
        <v>7651</v>
      </c>
      <c r="L445" s="7"/>
      <c r="M445" s="7"/>
      <c r="N445" s="7">
        <f t="shared" si="54"/>
        <v>7651</v>
      </c>
      <c r="O445" s="7">
        <v>0</v>
      </c>
      <c r="P445" s="20">
        <f t="shared" si="55"/>
        <v>7651</v>
      </c>
      <c r="Q445" s="20">
        <v>0</v>
      </c>
    </row>
    <row r="446" spans="1:17" s="168" customFormat="1" ht="14.25" customHeight="1">
      <c r="A446" s="19"/>
      <c r="B446" s="31" t="s">
        <v>92</v>
      </c>
      <c r="C446" s="282" t="s">
        <v>106</v>
      </c>
      <c r="D446" s="7"/>
      <c r="E446" s="7"/>
      <c r="F446" s="7"/>
      <c r="G446" s="7"/>
      <c r="H446" s="7"/>
      <c r="I446" s="7"/>
      <c r="J446" s="7"/>
      <c r="K446" s="7">
        <v>1000</v>
      </c>
      <c r="L446" s="7"/>
      <c r="M446" s="7"/>
      <c r="N446" s="7">
        <f t="shared" si="54"/>
        <v>1000</v>
      </c>
      <c r="O446" s="7">
        <v>0</v>
      </c>
      <c r="P446" s="20">
        <f t="shared" si="55"/>
        <v>1000</v>
      </c>
      <c r="Q446" s="20">
        <v>0</v>
      </c>
    </row>
    <row r="447" spans="1:17" s="168" customFormat="1" ht="15.75" customHeight="1">
      <c r="A447" s="19"/>
      <c r="B447" s="31" t="s">
        <v>247</v>
      </c>
      <c r="C447" s="282" t="s">
        <v>414</v>
      </c>
      <c r="D447" s="7"/>
      <c r="E447" s="7">
        <v>17339</v>
      </c>
      <c r="F447" s="7">
        <v>5526</v>
      </c>
      <c r="G447" s="7">
        <v>0</v>
      </c>
      <c r="H447" s="7">
        <v>25571</v>
      </c>
      <c r="I447" s="7">
        <v>0</v>
      </c>
      <c r="J447" s="7">
        <v>0</v>
      </c>
      <c r="K447" s="7">
        <v>13010</v>
      </c>
      <c r="L447" s="7"/>
      <c r="M447" s="7"/>
      <c r="N447" s="7">
        <f t="shared" si="54"/>
        <v>13010</v>
      </c>
      <c r="O447" s="7">
        <v>0</v>
      </c>
      <c r="P447" s="20">
        <f t="shared" si="55"/>
        <v>13010</v>
      </c>
      <c r="Q447" s="20">
        <v>0</v>
      </c>
    </row>
    <row r="448" spans="1:17" s="168" customFormat="1" ht="15" customHeight="1">
      <c r="A448" s="19"/>
      <c r="B448" s="31" t="s">
        <v>407</v>
      </c>
      <c r="C448" s="282" t="s">
        <v>457</v>
      </c>
      <c r="D448" s="7"/>
      <c r="E448" s="7">
        <v>4149</v>
      </c>
      <c r="F448" s="7">
        <v>0</v>
      </c>
      <c r="G448" s="7">
        <v>0</v>
      </c>
      <c r="H448" s="7">
        <v>1500</v>
      </c>
      <c r="I448" s="7">
        <v>0</v>
      </c>
      <c r="J448" s="7">
        <v>0</v>
      </c>
      <c r="K448" s="7">
        <v>2000</v>
      </c>
      <c r="L448" s="7"/>
      <c r="M448" s="7"/>
      <c r="N448" s="7">
        <f t="shared" si="54"/>
        <v>2000</v>
      </c>
      <c r="O448" s="7">
        <v>0</v>
      </c>
      <c r="P448" s="20">
        <f t="shared" si="55"/>
        <v>2000</v>
      </c>
      <c r="Q448" s="20">
        <v>0</v>
      </c>
    </row>
    <row r="449" spans="1:17" s="168" customFormat="1" ht="15.75" customHeight="1">
      <c r="A449" s="19"/>
      <c r="B449" s="31" t="s">
        <v>249</v>
      </c>
      <c r="C449" s="282" t="s">
        <v>368</v>
      </c>
      <c r="D449" s="7"/>
      <c r="E449" s="7">
        <v>4365</v>
      </c>
      <c r="F449" s="7">
        <v>350</v>
      </c>
      <c r="G449" s="7">
        <v>0</v>
      </c>
      <c r="H449" s="7">
        <v>3966</v>
      </c>
      <c r="I449" s="7">
        <v>0</v>
      </c>
      <c r="J449" s="7">
        <v>0</v>
      </c>
      <c r="K449" s="7">
        <v>3900</v>
      </c>
      <c r="L449" s="7"/>
      <c r="M449" s="7"/>
      <c r="N449" s="7">
        <f t="shared" si="54"/>
        <v>3900</v>
      </c>
      <c r="O449" s="7">
        <v>0</v>
      </c>
      <c r="P449" s="20">
        <f t="shared" si="55"/>
        <v>3900</v>
      </c>
      <c r="Q449" s="20">
        <v>0</v>
      </c>
    </row>
    <row r="450" spans="1:17" s="168" customFormat="1" ht="15" customHeight="1">
      <c r="A450" s="19"/>
      <c r="B450" s="31" t="s">
        <v>253</v>
      </c>
      <c r="C450" s="282" t="s">
        <v>370</v>
      </c>
      <c r="D450" s="7"/>
      <c r="E450" s="7">
        <v>6136</v>
      </c>
      <c r="F450" s="7">
        <v>800</v>
      </c>
      <c r="G450" s="7">
        <v>0</v>
      </c>
      <c r="H450" s="7">
        <v>6503</v>
      </c>
      <c r="I450" s="7">
        <v>0</v>
      </c>
      <c r="J450" s="7">
        <v>0</v>
      </c>
      <c r="K450" s="7">
        <v>7482</v>
      </c>
      <c r="L450" s="7">
        <v>0</v>
      </c>
      <c r="M450" s="7"/>
      <c r="N450" s="7">
        <f t="shared" si="54"/>
        <v>7482</v>
      </c>
      <c r="O450" s="7">
        <v>0</v>
      </c>
      <c r="P450" s="20">
        <f t="shared" si="55"/>
        <v>7482</v>
      </c>
      <c r="Q450" s="20">
        <v>0</v>
      </c>
    </row>
    <row r="451" spans="1:17" s="168" customFormat="1" ht="15" customHeight="1">
      <c r="A451" s="19"/>
      <c r="B451" s="31" t="s">
        <v>107</v>
      </c>
      <c r="C451" s="282" t="s">
        <v>652</v>
      </c>
      <c r="D451" s="7"/>
      <c r="E451" s="7"/>
      <c r="F451" s="7"/>
      <c r="G451" s="7"/>
      <c r="H451" s="7"/>
      <c r="I451" s="7"/>
      <c r="J451" s="7"/>
      <c r="K451" s="7">
        <v>1930</v>
      </c>
      <c r="L451" s="7"/>
      <c r="M451" s="7"/>
      <c r="N451" s="7">
        <f t="shared" si="54"/>
        <v>1930</v>
      </c>
      <c r="O451" s="7">
        <v>0</v>
      </c>
      <c r="P451" s="20">
        <f t="shared" si="55"/>
        <v>1930</v>
      </c>
      <c r="Q451" s="20">
        <v>0</v>
      </c>
    </row>
    <row r="452" spans="1:17" s="168" customFormat="1" ht="16.5" customHeight="1">
      <c r="A452" s="19"/>
      <c r="B452" s="31" t="s">
        <v>255</v>
      </c>
      <c r="C452" s="282" t="s">
        <v>256</v>
      </c>
      <c r="D452" s="7"/>
      <c r="E452" s="7">
        <v>1250</v>
      </c>
      <c r="F452" s="7">
        <v>100</v>
      </c>
      <c r="G452" s="7">
        <v>0</v>
      </c>
      <c r="H452" s="7">
        <v>2500</v>
      </c>
      <c r="I452" s="7">
        <v>0</v>
      </c>
      <c r="J452" s="7">
        <v>0</v>
      </c>
      <c r="K452" s="7">
        <v>3000</v>
      </c>
      <c r="L452" s="7"/>
      <c r="M452" s="7"/>
      <c r="N452" s="7">
        <f t="shared" si="54"/>
        <v>3000</v>
      </c>
      <c r="O452" s="7">
        <v>0</v>
      </c>
      <c r="P452" s="20">
        <f t="shared" si="55"/>
        <v>3000</v>
      </c>
      <c r="Q452" s="20">
        <v>0</v>
      </c>
    </row>
    <row r="453" spans="1:17" s="168" customFormat="1" ht="15.75" customHeight="1">
      <c r="A453" s="19"/>
      <c r="B453" s="19" t="s">
        <v>259</v>
      </c>
      <c r="C453" s="282" t="s">
        <v>260</v>
      </c>
      <c r="D453" s="7"/>
      <c r="E453" s="7">
        <v>21517</v>
      </c>
      <c r="F453" s="7">
        <v>0</v>
      </c>
      <c r="G453" s="7">
        <v>0</v>
      </c>
      <c r="H453" s="7">
        <v>11800</v>
      </c>
      <c r="I453" s="7">
        <v>0</v>
      </c>
      <c r="J453" s="7">
        <v>0</v>
      </c>
      <c r="K453" s="7">
        <v>16560</v>
      </c>
      <c r="L453" s="7"/>
      <c r="M453" s="7"/>
      <c r="N453" s="7">
        <f t="shared" si="54"/>
        <v>16560</v>
      </c>
      <c r="O453" s="7">
        <v>0</v>
      </c>
      <c r="P453" s="20">
        <f t="shared" si="55"/>
        <v>16560</v>
      </c>
      <c r="Q453" s="20">
        <v>0</v>
      </c>
    </row>
    <row r="454" spans="1:17" s="168" customFormat="1" ht="15" customHeight="1">
      <c r="A454" s="19"/>
      <c r="B454" s="19" t="s">
        <v>275</v>
      </c>
      <c r="C454" s="282" t="s">
        <v>276</v>
      </c>
      <c r="D454" s="7"/>
      <c r="E454" s="7"/>
      <c r="F454" s="7"/>
      <c r="G454" s="7"/>
      <c r="H454" s="7">
        <v>1217</v>
      </c>
      <c r="I454" s="7">
        <v>0</v>
      </c>
      <c r="J454" s="7">
        <v>0</v>
      </c>
      <c r="K454" s="7">
        <v>616</v>
      </c>
      <c r="L454" s="7"/>
      <c r="M454" s="7"/>
      <c r="N454" s="7">
        <f t="shared" si="54"/>
        <v>616</v>
      </c>
      <c r="O454" s="7">
        <v>0</v>
      </c>
      <c r="P454" s="20">
        <f t="shared" si="55"/>
        <v>616</v>
      </c>
      <c r="Q454" s="20">
        <v>0</v>
      </c>
    </row>
    <row r="455" spans="1:17" s="168" customFormat="1" ht="21" customHeight="1">
      <c r="A455" s="183" t="s">
        <v>478</v>
      </c>
      <c r="B455" s="183"/>
      <c r="C455" s="182" t="s">
        <v>479</v>
      </c>
      <c r="D455" s="154" t="e">
        <f>D457+D458+D459+#REF!+#REF!</f>
        <v>#REF!</v>
      </c>
      <c r="E455" s="154" t="e">
        <f>E457+E458+E459+E460+E456+#REF!+#REF!+#REF!+#REF!+#REF!+#REF!+#REF!+#REF!</f>
        <v>#REF!</v>
      </c>
      <c r="F455" s="154" t="e">
        <f>F457+F458+F459+F460+F456+#REF!+#REF!+#REF!+#REF!+#REF!+#REF!+#REF!+#REF!</f>
        <v>#REF!</v>
      </c>
      <c r="G455" s="154" t="e">
        <f>G457+G458+G459+G460+G456+#REF!+#REF!+#REF!+#REF!+#REF!+#REF!+#REF!+#REF!</f>
        <v>#REF!</v>
      </c>
      <c r="H455" s="154" t="e">
        <f>H457+H458+H459+H460+H456+#REF!+H462+H463+H466+H467+H468+#REF!</f>
        <v>#REF!</v>
      </c>
      <c r="I455" s="154" t="e">
        <f>I457+I458+I459+I460+I456+#REF!+I462+I463+I466+I467+I468</f>
        <v>#REF!</v>
      </c>
      <c r="J455" s="154" t="e">
        <f>J457+J458+J459+J460+J456+#REF!+J462+J463+J466+J467+J468</f>
        <v>#REF!</v>
      </c>
      <c r="K455" s="154">
        <f>SUM(K456:K471)</f>
        <v>1651412</v>
      </c>
      <c r="L455" s="154">
        <f>SUM(L456:L471)</f>
        <v>59126</v>
      </c>
      <c r="M455" s="154">
        <f>SUM(M456:M471)</f>
        <v>59126</v>
      </c>
      <c r="N455" s="154">
        <f t="shared" si="54"/>
        <v>1651412</v>
      </c>
      <c r="O455" s="154">
        <f>SUM(O456:O471)</f>
        <v>0</v>
      </c>
      <c r="P455" s="154">
        <f>SUM(P456:P471)</f>
        <v>1651412</v>
      </c>
      <c r="Q455" s="154">
        <f>SUM(Q456:Q471)</f>
        <v>0</v>
      </c>
    </row>
    <row r="456" spans="1:17" s="168" customFormat="1" ht="14.25" customHeight="1">
      <c r="A456" s="19"/>
      <c r="B456" s="31" t="s">
        <v>220</v>
      </c>
      <c r="C456" s="282" t="s">
        <v>417</v>
      </c>
      <c r="D456" s="7"/>
      <c r="E456" s="7">
        <v>1600</v>
      </c>
      <c r="F456" s="7">
        <v>0</v>
      </c>
      <c r="G456" s="7">
        <v>140</v>
      </c>
      <c r="H456" s="16">
        <v>2734</v>
      </c>
      <c r="I456" s="16">
        <v>0</v>
      </c>
      <c r="J456" s="16">
        <v>0</v>
      </c>
      <c r="K456" s="7">
        <v>2734</v>
      </c>
      <c r="L456" s="7">
        <v>0</v>
      </c>
      <c r="M456" s="16"/>
      <c r="N456" s="7">
        <f t="shared" si="54"/>
        <v>2734</v>
      </c>
      <c r="O456" s="7">
        <v>0</v>
      </c>
      <c r="P456" s="20">
        <f>N456</f>
        <v>2734</v>
      </c>
      <c r="Q456" s="20">
        <v>0</v>
      </c>
    </row>
    <row r="457" spans="1:17" s="168" customFormat="1" ht="14.25" customHeight="1">
      <c r="A457" s="19"/>
      <c r="B457" s="19" t="s">
        <v>237</v>
      </c>
      <c r="C457" s="282" t="s">
        <v>238</v>
      </c>
      <c r="D457" s="7">
        <v>760149</v>
      </c>
      <c r="E457" s="7">
        <v>761652</v>
      </c>
      <c r="F457" s="7">
        <v>1187</v>
      </c>
      <c r="G457" s="7">
        <v>0</v>
      </c>
      <c r="H457" s="7">
        <v>374354</v>
      </c>
      <c r="I457" s="7">
        <v>0</v>
      </c>
      <c r="J457" s="7">
        <v>0</v>
      </c>
      <c r="K457" s="7">
        <v>458936</v>
      </c>
      <c r="L457" s="7"/>
      <c r="M457" s="7">
        <v>0</v>
      </c>
      <c r="N457" s="7">
        <f t="shared" si="54"/>
        <v>458936</v>
      </c>
      <c r="O457" s="7">
        <v>0</v>
      </c>
      <c r="P457" s="20">
        <f aca="true" t="shared" si="56" ref="P457:P471">N457</f>
        <v>458936</v>
      </c>
      <c r="Q457" s="20">
        <v>0</v>
      </c>
    </row>
    <row r="458" spans="1:17" s="168" customFormat="1" ht="14.25" customHeight="1">
      <c r="A458" s="19"/>
      <c r="B458" s="19" t="s">
        <v>241</v>
      </c>
      <c r="C458" s="282" t="s">
        <v>242</v>
      </c>
      <c r="D458" s="7">
        <v>56427</v>
      </c>
      <c r="E458" s="7">
        <v>62354</v>
      </c>
      <c r="F458" s="7">
        <v>0</v>
      </c>
      <c r="G458" s="7">
        <v>0</v>
      </c>
      <c r="H458" s="16">
        <v>32155</v>
      </c>
      <c r="I458" s="16">
        <v>0</v>
      </c>
      <c r="J458" s="16">
        <v>0</v>
      </c>
      <c r="K458" s="7">
        <v>41880</v>
      </c>
      <c r="L458" s="7">
        <v>0</v>
      </c>
      <c r="M458" s="16"/>
      <c r="N458" s="7">
        <f t="shared" si="54"/>
        <v>41880</v>
      </c>
      <c r="O458" s="7">
        <v>0</v>
      </c>
      <c r="P458" s="20">
        <f t="shared" si="56"/>
        <v>41880</v>
      </c>
      <c r="Q458" s="20">
        <v>0</v>
      </c>
    </row>
    <row r="459" spans="1:17" s="168" customFormat="1" ht="14.25" customHeight="1">
      <c r="A459" s="19"/>
      <c r="B459" s="31" t="s">
        <v>299</v>
      </c>
      <c r="C459" s="282" t="s">
        <v>271</v>
      </c>
      <c r="D459" s="7">
        <v>162435</v>
      </c>
      <c r="E459" s="7">
        <v>143919</v>
      </c>
      <c r="F459" s="7">
        <v>212</v>
      </c>
      <c r="G459" s="7">
        <v>0</v>
      </c>
      <c r="H459" s="16">
        <v>69400</v>
      </c>
      <c r="I459" s="16">
        <v>0</v>
      </c>
      <c r="J459" s="16">
        <v>0</v>
      </c>
      <c r="K459" s="7">
        <v>84056</v>
      </c>
      <c r="L459" s="7"/>
      <c r="M459" s="16"/>
      <c r="N459" s="7">
        <f t="shared" si="54"/>
        <v>84056</v>
      </c>
      <c r="O459" s="7">
        <v>0</v>
      </c>
      <c r="P459" s="20">
        <f t="shared" si="56"/>
        <v>84056</v>
      </c>
      <c r="Q459" s="20">
        <v>0</v>
      </c>
    </row>
    <row r="460" spans="1:17" s="168" customFormat="1" ht="15.75" customHeight="1">
      <c r="A460" s="19"/>
      <c r="B460" s="31" t="s">
        <v>245</v>
      </c>
      <c r="C460" s="282" t="s">
        <v>246</v>
      </c>
      <c r="D460" s="7"/>
      <c r="E460" s="7">
        <v>19637</v>
      </c>
      <c r="F460" s="7">
        <v>29</v>
      </c>
      <c r="G460" s="7">
        <v>0</v>
      </c>
      <c r="H460" s="16">
        <v>9470</v>
      </c>
      <c r="I460" s="16">
        <v>0</v>
      </c>
      <c r="J460" s="16">
        <v>0</v>
      </c>
      <c r="K460" s="7">
        <v>11720</v>
      </c>
      <c r="L460" s="7"/>
      <c r="M460" s="16"/>
      <c r="N460" s="7">
        <f t="shared" si="54"/>
        <v>11720</v>
      </c>
      <c r="O460" s="7">
        <v>0</v>
      </c>
      <c r="P460" s="20">
        <f t="shared" si="56"/>
        <v>11720</v>
      </c>
      <c r="Q460" s="20">
        <v>0</v>
      </c>
    </row>
    <row r="461" spans="1:17" s="168" customFormat="1" ht="13.5" customHeight="1">
      <c r="A461" s="19"/>
      <c r="B461" s="31" t="s">
        <v>92</v>
      </c>
      <c r="C461" s="282" t="s">
        <v>106</v>
      </c>
      <c r="D461" s="7"/>
      <c r="E461" s="7"/>
      <c r="F461" s="7"/>
      <c r="G461" s="7"/>
      <c r="H461" s="16"/>
      <c r="I461" s="16"/>
      <c r="J461" s="16"/>
      <c r="K461" s="7">
        <v>5000</v>
      </c>
      <c r="L461" s="7"/>
      <c r="M461" s="16"/>
      <c r="N461" s="7">
        <f t="shared" si="54"/>
        <v>5000</v>
      </c>
      <c r="O461" s="7">
        <v>0</v>
      </c>
      <c r="P461" s="20">
        <f t="shared" si="56"/>
        <v>5000</v>
      </c>
      <c r="Q461" s="20">
        <v>0</v>
      </c>
    </row>
    <row r="462" spans="1:17" s="168" customFormat="1" ht="13.5" customHeight="1">
      <c r="A462" s="19"/>
      <c r="B462" s="31" t="s">
        <v>247</v>
      </c>
      <c r="C462" s="282" t="s">
        <v>274</v>
      </c>
      <c r="D462" s="7">
        <v>200</v>
      </c>
      <c r="E462" s="7">
        <v>0</v>
      </c>
      <c r="F462" s="7"/>
      <c r="G462" s="7"/>
      <c r="H462" s="16">
        <v>275062</v>
      </c>
      <c r="I462" s="16">
        <v>0</v>
      </c>
      <c r="J462" s="16">
        <v>0</v>
      </c>
      <c r="K462" s="7">
        <v>220818</v>
      </c>
      <c r="L462" s="7"/>
      <c r="M462" s="16">
        <v>0</v>
      </c>
      <c r="N462" s="7">
        <f t="shared" si="54"/>
        <v>220818</v>
      </c>
      <c r="O462" s="7">
        <v>0</v>
      </c>
      <c r="P462" s="20">
        <f t="shared" si="56"/>
        <v>220818</v>
      </c>
      <c r="Q462" s="20">
        <v>0</v>
      </c>
    </row>
    <row r="463" spans="1:17" s="168" customFormat="1" ht="13.5" customHeight="1">
      <c r="A463" s="19"/>
      <c r="B463" s="31" t="s">
        <v>249</v>
      </c>
      <c r="C463" s="282" t="s">
        <v>368</v>
      </c>
      <c r="D463" s="7"/>
      <c r="E463" s="7"/>
      <c r="F463" s="7"/>
      <c r="G463" s="7"/>
      <c r="H463" s="16">
        <v>85600</v>
      </c>
      <c r="I463" s="16">
        <v>0</v>
      </c>
      <c r="J463" s="16">
        <v>0</v>
      </c>
      <c r="K463" s="7">
        <v>74954</v>
      </c>
      <c r="L463" s="7"/>
      <c r="M463" s="16"/>
      <c r="N463" s="7">
        <f t="shared" si="54"/>
        <v>74954</v>
      </c>
      <c r="O463" s="7">
        <v>0</v>
      </c>
      <c r="P463" s="20">
        <f t="shared" si="56"/>
        <v>74954</v>
      </c>
      <c r="Q463" s="20">
        <v>0</v>
      </c>
    </row>
    <row r="464" spans="1:17" s="168" customFormat="1" ht="13.5" customHeight="1">
      <c r="A464" s="19"/>
      <c r="B464" s="31" t="s">
        <v>251</v>
      </c>
      <c r="C464" s="282" t="s">
        <v>369</v>
      </c>
      <c r="D464" s="7"/>
      <c r="E464" s="7"/>
      <c r="F464" s="7"/>
      <c r="G464" s="7"/>
      <c r="H464" s="16"/>
      <c r="I464" s="16"/>
      <c r="J464" s="16"/>
      <c r="K464" s="7">
        <v>0</v>
      </c>
      <c r="L464" s="7">
        <v>59126</v>
      </c>
      <c r="M464" s="16"/>
      <c r="N464" s="7">
        <f t="shared" si="54"/>
        <v>59126</v>
      </c>
      <c r="O464" s="7"/>
      <c r="P464" s="20">
        <f t="shared" si="56"/>
        <v>59126</v>
      </c>
      <c r="Q464" s="20"/>
    </row>
    <row r="465" spans="1:17" s="168" customFormat="1" ht="13.5" customHeight="1">
      <c r="A465" s="19"/>
      <c r="B465" s="31" t="s">
        <v>320</v>
      </c>
      <c r="C465" s="282" t="s">
        <v>321</v>
      </c>
      <c r="D465" s="7"/>
      <c r="E465" s="7"/>
      <c r="F465" s="7"/>
      <c r="G465" s="7"/>
      <c r="H465" s="16"/>
      <c r="I465" s="16"/>
      <c r="J465" s="16"/>
      <c r="K465" s="7">
        <v>660</v>
      </c>
      <c r="L465" s="7"/>
      <c r="M465" s="16"/>
      <c r="N465" s="7">
        <f t="shared" si="54"/>
        <v>660</v>
      </c>
      <c r="O465" s="7">
        <v>0</v>
      </c>
      <c r="P465" s="20">
        <f t="shared" si="56"/>
        <v>660</v>
      </c>
      <c r="Q465" s="20">
        <v>0</v>
      </c>
    </row>
    <row r="466" spans="1:17" s="168" customFormat="1" ht="13.5" customHeight="1">
      <c r="A466" s="19"/>
      <c r="B466" s="31" t="s">
        <v>253</v>
      </c>
      <c r="C466" s="282" t="s">
        <v>370</v>
      </c>
      <c r="D466" s="7"/>
      <c r="E466" s="7"/>
      <c r="F466" s="7"/>
      <c r="G466" s="7"/>
      <c r="H466" s="16">
        <v>39410</v>
      </c>
      <c r="I466" s="16">
        <v>0</v>
      </c>
      <c r="J466" s="16">
        <v>0</v>
      </c>
      <c r="K466" s="7">
        <v>34763</v>
      </c>
      <c r="L466" s="7"/>
      <c r="M466" s="16"/>
      <c r="N466" s="7">
        <f t="shared" si="54"/>
        <v>34763</v>
      </c>
      <c r="O466" s="7">
        <v>0</v>
      </c>
      <c r="P466" s="20">
        <f t="shared" si="56"/>
        <v>34763</v>
      </c>
      <c r="Q466" s="20">
        <v>0</v>
      </c>
    </row>
    <row r="467" spans="1:17" s="168" customFormat="1" ht="13.5" customHeight="1">
      <c r="A467" s="19"/>
      <c r="B467" s="31" t="s">
        <v>259</v>
      </c>
      <c r="C467" s="282" t="s">
        <v>260</v>
      </c>
      <c r="D467" s="7"/>
      <c r="E467" s="7"/>
      <c r="F467" s="7"/>
      <c r="G467" s="7"/>
      <c r="H467" s="16">
        <v>15678</v>
      </c>
      <c r="I467" s="16">
        <v>0</v>
      </c>
      <c r="J467" s="16">
        <v>0</v>
      </c>
      <c r="K467" s="7">
        <v>27159</v>
      </c>
      <c r="L467" s="7"/>
      <c r="M467" s="16"/>
      <c r="N467" s="7">
        <f t="shared" si="54"/>
        <v>27159</v>
      </c>
      <c r="O467" s="7">
        <v>0</v>
      </c>
      <c r="P467" s="20">
        <f t="shared" si="56"/>
        <v>27159</v>
      </c>
      <c r="Q467" s="20">
        <v>0</v>
      </c>
    </row>
    <row r="468" spans="1:17" s="168" customFormat="1" ht="15.75" customHeight="1">
      <c r="A468" s="19"/>
      <c r="B468" s="31" t="s">
        <v>275</v>
      </c>
      <c r="C468" s="282" t="s">
        <v>276</v>
      </c>
      <c r="D468" s="7"/>
      <c r="E468" s="7">
        <v>94026</v>
      </c>
      <c r="F468" s="7">
        <v>0</v>
      </c>
      <c r="G468" s="7">
        <v>0</v>
      </c>
      <c r="H468" s="16">
        <v>4200</v>
      </c>
      <c r="I468" s="16">
        <v>0</v>
      </c>
      <c r="J468" s="16">
        <v>0</v>
      </c>
      <c r="K468" s="7">
        <v>6060</v>
      </c>
      <c r="L468" s="7"/>
      <c r="M468" s="16">
        <v>0</v>
      </c>
      <c r="N468" s="7">
        <f t="shared" si="54"/>
        <v>6060</v>
      </c>
      <c r="O468" s="7">
        <v>0</v>
      </c>
      <c r="P468" s="20">
        <f t="shared" si="56"/>
        <v>6060</v>
      </c>
      <c r="Q468" s="20">
        <v>0</v>
      </c>
    </row>
    <row r="469" spans="1:17" s="168" customFormat="1" ht="15.75" customHeight="1">
      <c r="A469" s="19"/>
      <c r="B469" s="31" t="s">
        <v>277</v>
      </c>
      <c r="C469" s="282" t="s">
        <v>174</v>
      </c>
      <c r="D469" s="7"/>
      <c r="E469" s="7"/>
      <c r="F469" s="7"/>
      <c r="G469" s="7"/>
      <c r="H469" s="16"/>
      <c r="I469" s="16"/>
      <c r="J469" s="16"/>
      <c r="K469" s="7">
        <v>0</v>
      </c>
      <c r="L469" s="7">
        <v>0</v>
      </c>
      <c r="M469" s="16"/>
      <c r="N469" s="7">
        <f t="shared" si="54"/>
        <v>0</v>
      </c>
      <c r="O469" s="7"/>
      <c r="P469" s="20">
        <f t="shared" si="56"/>
        <v>0</v>
      </c>
      <c r="Q469" s="20"/>
    </row>
    <row r="470" spans="1:17" s="168" customFormat="1" ht="15.75" customHeight="1">
      <c r="A470" s="19"/>
      <c r="B470" s="31" t="s">
        <v>531</v>
      </c>
      <c r="C470" s="282" t="s">
        <v>174</v>
      </c>
      <c r="D470" s="7"/>
      <c r="E470" s="7"/>
      <c r="F470" s="7"/>
      <c r="G470" s="7"/>
      <c r="H470" s="16"/>
      <c r="I470" s="16"/>
      <c r="J470" s="16"/>
      <c r="K470" s="7">
        <v>450000</v>
      </c>
      <c r="L470" s="7"/>
      <c r="M470" s="16"/>
      <c r="N470" s="7">
        <f t="shared" si="54"/>
        <v>450000</v>
      </c>
      <c r="O470" s="7"/>
      <c r="P470" s="20">
        <f t="shared" si="56"/>
        <v>450000</v>
      </c>
      <c r="Q470" s="20"/>
    </row>
    <row r="471" spans="1:17" s="168" customFormat="1" ht="15" customHeight="1">
      <c r="A471" s="19"/>
      <c r="B471" s="31" t="s">
        <v>651</v>
      </c>
      <c r="C471" s="282" t="s">
        <v>174</v>
      </c>
      <c r="D471" s="7"/>
      <c r="E471" s="7"/>
      <c r="F471" s="7"/>
      <c r="G471" s="7"/>
      <c r="H471" s="16"/>
      <c r="I471" s="16"/>
      <c r="J471" s="16"/>
      <c r="K471" s="7">
        <v>232672</v>
      </c>
      <c r="L471" s="7">
        <v>0</v>
      </c>
      <c r="M471" s="16">
        <v>59126</v>
      </c>
      <c r="N471" s="7">
        <f t="shared" si="54"/>
        <v>173546</v>
      </c>
      <c r="O471" s="7"/>
      <c r="P471" s="20">
        <f t="shared" si="56"/>
        <v>173546</v>
      </c>
      <c r="Q471" s="20"/>
    </row>
    <row r="472" spans="1:17" s="168" customFormat="1" ht="21.75" customHeight="1">
      <c r="A472" s="183" t="s">
        <v>480</v>
      </c>
      <c r="B472" s="294"/>
      <c r="C472" s="182" t="s">
        <v>481</v>
      </c>
      <c r="D472" s="154"/>
      <c r="E472" s="154"/>
      <c r="F472" s="154"/>
      <c r="G472" s="154"/>
      <c r="H472" s="154">
        <f>H473</f>
        <v>5083</v>
      </c>
      <c r="I472" s="154">
        <f>I473</f>
        <v>0</v>
      </c>
      <c r="J472" s="154">
        <f>J473</f>
        <v>0</v>
      </c>
      <c r="K472" s="154">
        <f>SUM(K473:K481)</f>
        <v>662560</v>
      </c>
      <c r="L472" s="154">
        <f>SUM(L473:L481)</f>
        <v>0</v>
      </c>
      <c r="M472" s="154">
        <f>SUM(M473:M481)</f>
        <v>0</v>
      </c>
      <c r="N472" s="154">
        <f t="shared" si="54"/>
        <v>662560</v>
      </c>
      <c r="O472" s="154">
        <f>SUM(O473:O481)</f>
        <v>0</v>
      </c>
      <c r="P472" s="154">
        <f>SUM(P473:P481)</f>
        <v>662560</v>
      </c>
      <c r="Q472" s="154">
        <f>SUM(Q473:Q481)</f>
        <v>0</v>
      </c>
    </row>
    <row r="473" spans="1:17" s="168" customFormat="1" ht="18" customHeight="1">
      <c r="A473" s="19"/>
      <c r="B473" s="31" t="s">
        <v>198</v>
      </c>
      <c r="C473" s="282" t="s">
        <v>532</v>
      </c>
      <c r="D473" s="7"/>
      <c r="E473" s="7"/>
      <c r="F473" s="7"/>
      <c r="G473" s="7"/>
      <c r="H473" s="16">
        <v>5083</v>
      </c>
      <c r="I473" s="16">
        <v>0</v>
      </c>
      <c r="J473" s="16">
        <v>0</v>
      </c>
      <c r="K473" s="16">
        <v>254400</v>
      </c>
      <c r="L473" s="16">
        <v>0</v>
      </c>
      <c r="M473" s="16"/>
      <c r="N473" s="7">
        <f t="shared" si="54"/>
        <v>254400</v>
      </c>
      <c r="O473" s="7">
        <v>0</v>
      </c>
      <c r="P473" s="20">
        <f>N473</f>
        <v>254400</v>
      </c>
      <c r="Q473" s="20">
        <v>0</v>
      </c>
    </row>
    <row r="474" spans="1:17" s="168" customFormat="1" ht="18.75" customHeight="1">
      <c r="A474" s="19"/>
      <c r="B474" s="31" t="s">
        <v>533</v>
      </c>
      <c r="C474" s="282" t="s">
        <v>532</v>
      </c>
      <c r="D474" s="7"/>
      <c r="E474" s="7"/>
      <c r="F474" s="7"/>
      <c r="G474" s="7"/>
      <c r="H474" s="16">
        <v>5083</v>
      </c>
      <c r="I474" s="16">
        <v>0</v>
      </c>
      <c r="J474" s="16">
        <v>0</v>
      </c>
      <c r="K474" s="16">
        <v>269606</v>
      </c>
      <c r="L474" s="16">
        <v>0</v>
      </c>
      <c r="M474" s="16"/>
      <c r="N474" s="7">
        <f t="shared" si="54"/>
        <v>269606</v>
      </c>
      <c r="O474" s="7">
        <v>0</v>
      </c>
      <c r="P474" s="20">
        <f aca="true" t="shared" si="57" ref="P474:P481">N474</f>
        <v>269606</v>
      </c>
      <c r="Q474" s="20">
        <v>0</v>
      </c>
    </row>
    <row r="475" spans="1:17" s="168" customFormat="1" ht="18.75" customHeight="1">
      <c r="A475" s="19"/>
      <c r="B475" s="31" t="s">
        <v>534</v>
      </c>
      <c r="C475" s="282" t="s">
        <v>532</v>
      </c>
      <c r="D475" s="7"/>
      <c r="E475" s="7"/>
      <c r="F475" s="7"/>
      <c r="G475" s="7"/>
      <c r="H475" s="16">
        <v>5083</v>
      </c>
      <c r="I475" s="16">
        <v>0</v>
      </c>
      <c r="J475" s="16">
        <v>0</v>
      </c>
      <c r="K475" s="16">
        <v>126874</v>
      </c>
      <c r="L475" s="16">
        <v>0</v>
      </c>
      <c r="M475" s="16"/>
      <c r="N475" s="7">
        <f t="shared" si="54"/>
        <v>126874</v>
      </c>
      <c r="O475" s="7">
        <v>0</v>
      </c>
      <c r="P475" s="20">
        <f t="shared" si="57"/>
        <v>126874</v>
      </c>
      <c r="Q475" s="20">
        <v>0</v>
      </c>
    </row>
    <row r="476" spans="1:17" s="168" customFormat="1" ht="21" customHeight="1">
      <c r="A476" s="19"/>
      <c r="B476" s="31" t="s">
        <v>518</v>
      </c>
      <c r="C476" s="282" t="s">
        <v>106</v>
      </c>
      <c r="D476" s="7"/>
      <c r="E476" s="7"/>
      <c r="F476" s="7"/>
      <c r="G476" s="7"/>
      <c r="H476" s="16">
        <v>5083</v>
      </c>
      <c r="I476" s="16">
        <v>0</v>
      </c>
      <c r="J476" s="16">
        <v>0</v>
      </c>
      <c r="K476" s="16">
        <v>2856</v>
      </c>
      <c r="L476" s="16"/>
      <c r="M476" s="16"/>
      <c r="N476" s="7">
        <f t="shared" si="54"/>
        <v>2856</v>
      </c>
      <c r="O476" s="7">
        <v>0</v>
      </c>
      <c r="P476" s="20">
        <f t="shared" si="57"/>
        <v>2856</v>
      </c>
      <c r="Q476" s="20">
        <v>0</v>
      </c>
    </row>
    <row r="477" spans="1:17" s="168" customFormat="1" ht="24.75" customHeight="1">
      <c r="A477" s="19"/>
      <c r="B477" s="31" t="s">
        <v>519</v>
      </c>
      <c r="C477" s="282" t="s">
        <v>106</v>
      </c>
      <c r="D477" s="7"/>
      <c r="E477" s="7"/>
      <c r="F477" s="7"/>
      <c r="G477" s="7"/>
      <c r="H477" s="16">
        <v>5083</v>
      </c>
      <c r="I477" s="16">
        <v>0</v>
      </c>
      <c r="J477" s="16">
        <v>0</v>
      </c>
      <c r="K477" s="16">
        <v>1344</v>
      </c>
      <c r="L477" s="16"/>
      <c r="M477" s="16"/>
      <c r="N477" s="7">
        <f t="shared" si="54"/>
        <v>1344</v>
      </c>
      <c r="O477" s="7">
        <v>0</v>
      </c>
      <c r="P477" s="20">
        <f t="shared" si="57"/>
        <v>1344</v>
      </c>
      <c r="Q477" s="20">
        <v>0</v>
      </c>
    </row>
    <row r="478" spans="1:17" s="168" customFormat="1" ht="24.75" customHeight="1">
      <c r="A478" s="19"/>
      <c r="B478" s="31" t="s">
        <v>520</v>
      </c>
      <c r="C478" s="282" t="s">
        <v>274</v>
      </c>
      <c r="D478" s="7"/>
      <c r="E478" s="7"/>
      <c r="F478" s="7"/>
      <c r="G478" s="7"/>
      <c r="H478" s="16"/>
      <c r="I478" s="16"/>
      <c r="J478" s="16"/>
      <c r="K478" s="16">
        <v>700</v>
      </c>
      <c r="L478" s="16">
        <v>0</v>
      </c>
      <c r="M478" s="16"/>
      <c r="N478" s="7">
        <f t="shared" si="54"/>
        <v>700</v>
      </c>
      <c r="O478" s="7"/>
      <c r="P478" s="20">
        <f t="shared" si="57"/>
        <v>700</v>
      </c>
      <c r="Q478" s="20"/>
    </row>
    <row r="479" spans="1:17" s="168" customFormat="1" ht="24" customHeight="1">
      <c r="A479" s="19"/>
      <c r="B479" s="31" t="s">
        <v>523</v>
      </c>
      <c r="C479" s="282" t="s">
        <v>274</v>
      </c>
      <c r="D479" s="7"/>
      <c r="E479" s="7"/>
      <c r="F479" s="7"/>
      <c r="G479" s="7"/>
      <c r="H479" s="16"/>
      <c r="I479" s="16"/>
      <c r="J479" s="16"/>
      <c r="K479" s="16">
        <v>330</v>
      </c>
      <c r="L479" s="16">
        <v>0</v>
      </c>
      <c r="M479" s="16"/>
      <c r="N479" s="7">
        <f t="shared" si="54"/>
        <v>330</v>
      </c>
      <c r="O479" s="7"/>
      <c r="P479" s="20">
        <f t="shared" si="57"/>
        <v>330</v>
      </c>
      <c r="Q479" s="20"/>
    </row>
    <row r="480" spans="1:17" s="168" customFormat="1" ht="25.5" customHeight="1">
      <c r="A480" s="19"/>
      <c r="B480" s="31" t="s">
        <v>521</v>
      </c>
      <c r="C480" s="282" t="s">
        <v>370</v>
      </c>
      <c r="D480" s="7"/>
      <c r="E480" s="7"/>
      <c r="F480" s="7"/>
      <c r="G480" s="7"/>
      <c r="H480" s="16">
        <v>5083</v>
      </c>
      <c r="I480" s="16">
        <v>0</v>
      </c>
      <c r="J480" s="16">
        <v>0</v>
      </c>
      <c r="K480" s="16">
        <v>4386</v>
      </c>
      <c r="L480" s="16">
        <v>0</v>
      </c>
      <c r="M480" s="16">
        <v>0</v>
      </c>
      <c r="N480" s="7">
        <f t="shared" si="54"/>
        <v>4386</v>
      </c>
      <c r="O480" s="7">
        <v>0</v>
      </c>
      <c r="P480" s="20">
        <f t="shared" si="57"/>
        <v>4386</v>
      </c>
      <c r="Q480" s="20">
        <v>0</v>
      </c>
    </row>
    <row r="481" spans="1:17" s="168" customFormat="1" ht="24" customHeight="1">
      <c r="A481" s="19"/>
      <c r="B481" s="31" t="s">
        <v>522</v>
      </c>
      <c r="C481" s="282" t="s">
        <v>370</v>
      </c>
      <c r="D481" s="7"/>
      <c r="E481" s="7"/>
      <c r="F481" s="7"/>
      <c r="G481" s="7"/>
      <c r="H481" s="16">
        <v>5083</v>
      </c>
      <c r="I481" s="16">
        <v>0</v>
      </c>
      <c r="J481" s="16">
        <v>0</v>
      </c>
      <c r="K481" s="16">
        <v>2064</v>
      </c>
      <c r="L481" s="16">
        <v>0</v>
      </c>
      <c r="M481" s="16">
        <v>0</v>
      </c>
      <c r="N481" s="7">
        <f t="shared" si="54"/>
        <v>2064</v>
      </c>
      <c r="O481" s="7">
        <v>0</v>
      </c>
      <c r="P481" s="20">
        <f t="shared" si="57"/>
        <v>2064</v>
      </c>
      <c r="Q481" s="20">
        <v>0</v>
      </c>
    </row>
    <row r="482" spans="1:17" s="168" customFormat="1" ht="25.5" customHeight="1">
      <c r="A482" s="183" t="s">
        <v>482</v>
      </c>
      <c r="B482" s="183"/>
      <c r="C482" s="182" t="s">
        <v>483</v>
      </c>
      <c r="D482" s="154">
        <f>D483+D485</f>
        <v>24996</v>
      </c>
      <c r="E482" s="154" t="e">
        <f>E483+E485+E486+#REF!+#REF!+#REF!</f>
        <v>#REF!</v>
      </c>
      <c r="F482" s="154" t="e">
        <f>F483+F485+F486+#REF!+#REF!+#REF!</f>
        <v>#REF!</v>
      </c>
      <c r="G482" s="154" t="e">
        <f>G483+G485+G486+#REF!+#REF!+#REF!</f>
        <v>#REF!</v>
      </c>
      <c r="H482" s="154" t="e">
        <f>H483+#REF!+#REF!+H485+H486</f>
        <v>#REF!</v>
      </c>
      <c r="I482" s="154" t="e">
        <f>I483+#REF!+#REF!+I485+I486</f>
        <v>#REF!</v>
      </c>
      <c r="J482" s="154" t="e">
        <f>J483+#REF!+#REF!+J485+J486</f>
        <v>#REF!</v>
      </c>
      <c r="K482" s="154">
        <f>K483+K484+K485+K486</f>
        <v>3900</v>
      </c>
      <c r="L482" s="154">
        <f>L483+L484+L485+L486</f>
        <v>0</v>
      </c>
      <c r="M482" s="154">
        <f>M483+M484+M485+M486</f>
        <v>0</v>
      </c>
      <c r="N482" s="288">
        <f t="shared" si="54"/>
        <v>3900</v>
      </c>
      <c r="O482" s="154">
        <f>O483+O484+O485+O486</f>
        <v>0</v>
      </c>
      <c r="P482" s="154">
        <f>P483+P484+P485+P486</f>
        <v>2400</v>
      </c>
      <c r="Q482" s="152">
        <f>Q483+Q484+Q485</f>
        <v>1500</v>
      </c>
    </row>
    <row r="483" spans="1:17" s="168" customFormat="1" ht="21.75" customHeight="1">
      <c r="A483" s="19"/>
      <c r="B483" s="19" t="s">
        <v>305</v>
      </c>
      <c r="C483" s="282" t="s">
        <v>670</v>
      </c>
      <c r="D483" s="7">
        <v>16664</v>
      </c>
      <c r="E483" s="7">
        <v>16664</v>
      </c>
      <c r="F483" s="7">
        <v>0</v>
      </c>
      <c r="G483" s="7">
        <v>0</v>
      </c>
      <c r="H483" s="16">
        <v>6000</v>
      </c>
      <c r="I483" s="16">
        <v>0</v>
      </c>
      <c r="J483" s="16">
        <v>0</v>
      </c>
      <c r="K483" s="7">
        <v>1500</v>
      </c>
      <c r="L483" s="7"/>
      <c r="M483" s="16"/>
      <c r="N483" s="7">
        <f t="shared" si="54"/>
        <v>1500</v>
      </c>
      <c r="O483" s="7">
        <v>0</v>
      </c>
      <c r="P483" s="20">
        <v>0</v>
      </c>
      <c r="Q483" s="20">
        <f>N483</f>
        <v>1500</v>
      </c>
    </row>
    <row r="484" spans="1:17" s="168" customFormat="1" ht="23.25" customHeight="1">
      <c r="A484" s="19"/>
      <c r="B484" s="19" t="s">
        <v>92</v>
      </c>
      <c r="C484" s="282" t="s">
        <v>106</v>
      </c>
      <c r="D484" s="7"/>
      <c r="E484" s="7"/>
      <c r="F484" s="7"/>
      <c r="G484" s="7"/>
      <c r="H484" s="16"/>
      <c r="I484" s="16"/>
      <c r="J484" s="16"/>
      <c r="K484" s="7">
        <v>1400</v>
      </c>
      <c r="L484" s="7"/>
      <c r="M484" s="16"/>
      <c r="N484" s="7">
        <f t="shared" si="54"/>
        <v>1400</v>
      </c>
      <c r="O484" s="7">
        <v>0</v>
      </c>
      <c r="P484" s="20">
        <f>N484</f>
        <v>1400</v>
      </c>
      <c r="Q484" s="20">
        <v>0</v>
      </c>
    </row>
    <row r="485" spans="1:17" s="168" customFormat="1" ht="24.75" customHeight="1">
      <c r="A485" s="19"/>
      <c r="B485" s="19" t="s">
        <v>247</v>
      </c>
      <c r="C485" s="282" t="s">
        <v>274</v>
      </c>
      <c r="D485" s="7">
        <v>8332</v>
      </c>
      <c r="E485" s="7">
        <v>3107</v>
      </c>
      <c r="F485" s="7">
        <v>0</v>
      </c>
      <c r="G485" s="7">
        <v>325</v>
      </c>
      <c r="H485" s="16">
        <v>832</v>
      </c>
      <c r="I485" s="16">
        <v>0</v>
      </c>
      <c r="J485" s="16">
        <v>0</v>
      </c>
      <c r="K485" s="7">
        <v>600</v>
      </c>
      <c r="L485" s="7"/>
      <c r="M485" s="16"/>
      <c r="N485" s="7">
        <f t="shared" si="54"/>
        <v>600</v>
      </c>
      <c r="O485" s="7">
        <v>0</v>
      </c>
      <c r="P485" s="20">
        <f>N485</f>
        <v>600</v>
      </c>
      <c r="Q485" s="20">
        <v>0</v>
      </c>
    </row>
    <row r="486" spans="1:17" s="168" customFormat="1" ht="24" customHeight="1">
      <c r="A486" s="19"/>
      <c r="B486" s="19" t="s">
        <v>253</v>
      </c>
      <c r="C486" s="282" t="s">
        <v>254</v>
      </c>
      <c r="D486" s="7"/>
      <c r="E486" s="7">
        <v>2500</v>
      </c>
      <c r="F486" s="7">
        <v>0</v>
      </c>
      <c r="G486" s="7">
        <v>0</v>
      </c>
      <c r="H486" s="16">
        <v>1800</v>
      </c>
      <c r="I486" s="16">
        <v>0</v>
      </c>
      <c r="J486" s="16">
        <v>0</v>
      </c>
      <c r="K486" s="7">
        <v>400</v>
      </c>
      <c r="L486" s="7"/>
      <c r="M486" s="16"/>
      <c r="N486" s="7">
        <f t="shared" si="54"/>
        <v>400</v>
      </c>
      <c r="O486" s="7">
        <v>0</v>
      </c>
      <c r="P486" s="20">
        <f>N486</f>
        <v>400</v>
      </c>
      <c r="Q486" s="20">
        <v>0</v>
      </c>
    </row>
    <row r="487" spans="1:17" s="168" customFormat="1" ht="24" customHeight="1">
      <c r="A487" s="183" t="s">
        <v>485</v>
      </c>
      <c r="B487" s="183"/>
      <c r="C487" s="182" t="s">
        <v>315</v>
      </c>
      <c r="D487" s="154"/>
      <c r="E487" s="154">
        <f aca="true" t="shared" si="58" ref="E487:Q487">E488</f>
        <v>0</v>
      </c>
      <c r="F487" s="154">
        <f t="shared" si="58"/>
        <v>27582</v>
      </c>
      <c r="G487" s="154">
        <f t="shared" si="58"/>
        <v>0</v>
      </c>
      <c r="H487" s="154">
        <f aca="true" t="shared" si="59" ref="H487:N487">H488</f>
        <v>12118</v>
      </c>
      <c r="I487" s="154">
        <f t="shared" si="59"/>
        <v>0</v>
      </c>
      <c r="J487" s="154">
        <f t="shared" si="59"/>
        <v>0</v>
      </c>
      <c r="K487" s="154">
        <f t="shared" si="59"/>
        <v>28348</v>
      </c>
      <c r="L487" s="154">
        <f t="shared" si="59"/>
        <v>0</v>
      </c>
      <c r="M487" s="154">
        <f t="shared" si="59"/>
        <v>0</v>
      </c>
      <c r="N487" s="154">
        <f t="shared" si="59"/>
        <v>28348</v>
      </c>
      <c r="O487" s="154">
        <f t="shared" si="58"/>
        <v>0</v>
      </c>
      <c r="P487" s="152">
        <f t="shared" si="58"/>
        <v>28348</v>
      </c>
      <c r="Q487" s="152">
        <f t="shared" si="58"/>
        <v>0</v>
      </c>
    </row>
    <row r="488" spans="1:17" s="168" customFormat="1" ht="26.25" customHeight="1">
      <c r="A488" s="19"/>
      <c r="B488" s="19" t="s">
        <v>259</v>
      </c>
      <c r="C488" s="282" t="s">
        <v>402</v>
      </c>
      <c r="D488" s="7"/>
      <c r="E488" s="7">
        <v>0</v>
      </c>
      <c r="F488" s="7">
        <v>27582</v>
      </c>
      <c r="G488" s="7">
        <v>0</v>
      </c>
      <c r="H488" s="20">
        <v>12118</v>
      </c>
      <c r="I488" s="20">
        <v>0</v>
      </c>
      <c r="J488" s="20">
        <v>0</v>
      </c>
      <c r="K488" s="7">
        <v>28348</v>
      </c>
      <c r="L488" s="7">
        <v>0</v>
      </c>
      <c r="M488" s="20"/>
      <c r="N488" s="7">
        <f t="shared" si="54"/>
        <v>28348</v>
      </c>
      <c r="O488" s="7">
        <v>0</v>
      </c>
      <c r="P488" s="20">
        <f>N488</f>
        <v>28348</v>
      </c>
      <c r="Q488" s="20">
        <v>0</v>
      </c>
    </row>
    <row r="489" spans="1:17" s="168" customFormat="1" ht="28.5" customHeight="1">
      <c r="A489" s="165" t="s">
        <v>486</v>
      </c>
      <c r="B489" s="165"/>
      <c r="C489" s="164" t="s">
        <v>487</v>
      </c>
      <c r="D489" s="159" t="e">
        <f aca="true" t="shared" si="60" ref="D489:J489">D490+D493</f>
        <v>#REF!</v>
      </c>
      <c r="E489" s="159">
        <f t="shared" si="60"/>
        <v>45000</v>
      </c>
      <c r="F489" s="159">
        <f t="shared" si="60"/>
        <v>0</v>
      </c>
      <c r="G489" s="159">
        <f t="shared" si="60"/>
        <v>0</v>
      </c>
      <c r="H489" s="159" t="e">
        <f t="shared" si="60"/>
        <v>#REF!</v>
      </c>
      <c r="I489" s="159" t="e">
        <f t="shared" si="60"/>
        <v>#REF!</v>
      </c>
      <c r="J489" s="159" t="e">
        <f t="shared" si="60"/>
        <v>#REF!</v>
      </c>
      <c r="K489" s="159">
        <f>K490+K493</f>
        <v>40100</v>
      </c>
      <c r="L489" s="159">
        <f>L490+L493</f>
        <v>0</v>
      </c>
      <c r="M489" s="159">
        <f>M490+M493</f>
        <v>0</v>
      </c>
      <c r="N489" s="159">
        <f t="shared" si="54"/>
        <v>40100</v>
      </c>
      <c r="O489" s="159">
        <f>O490+O493</f>
        <v>0</v>
      </c>
      <c r="P489" s="159">
        <f>P490+P493</f>
        <v>7100</v>
      </c>
      <c r="Q489" s="159">
        <f>Q490+Q493</f>
        <v>33000</v>
      </c>
    </row>
    <row r="490" spans="1:17" s="168" customFormat="1" ht="24.75" customHeight="1">
      <c r="A490" s="183" t="s">
        <v>488</v>
      </c>
      <c r="B490" s="183"/>
      <c r="C490" s="182" t="s">
        <v>489</v>
      </c>
      <c r="D490" s="154">
        <f aca="true" t="shared" si="61" ref="D490:J490">D491</f>
        <v>0</v>
      </c>
      <c r="E490" s="154">
        <f t="shared" si="61"/>
        <v>30000</v>
      </c>
      <c r="F490" s="154">
        <f t="shared" si="61"/>
        <v>0</v>
      </c>
      <c r="G490" s="154">
        <f t="shared" si="61"/>
        <v>0</v>
      </c>
      <c r="H490" s="154">
        <f t="shared" si="61"/>
        <v>30000</v>
      </c>
      <c r="I490" s="154">
        <f t="shared" si="61"/>
        <v>0</v>
      </c>
      <c r="J490" s="154">
        <f t="shared" si="61"/>
        <v>0</v>
      </c>
      <c r="K490" s="154">
        <f>K491+K492</f>
        <v>33000</v>
      </c>
      <c r="L490" s="154">
        <f>L491+L492</f>
        <v>0</v>
      </c>
      <c r="M490" s="154">
        <f>M491+M492</f>
        <v>0</v>
      </c>
      <c r="N490" s="154">
        <f t="shared" si="54"/>
        <v>33000</v>
      </c>
      <c r="O490" s="154">
        <f>O491</f>
        <v>0</v>
      </c>
      <c r="P490" s="152">
        <f>P491+P492</f>
        <v>0</v>
      </c>
      <c r="Q490" s="152">
        <f>Q491</f>
        <v>33000</v>
      </c>
    </row>
    <row r="491" spans="1:17" s="168" customFormat="1" ht="22.5" customHeight="1">
      <c r="A491" s="19"/>
      <c r="B491" s="19" t="s">
        <v>305</v>
      </c>
      <c r="C491" s="282" t="s">
        <v>490</v>
      </c>
      <c r="D491" s="7">
        <v>0</v>
      </c>
      <c r="E491" s="7">
        <v>30000</v>
      </c>
      <c r="F491" s="7">
        <v>0</v>
      </c>
      <c r="G491" s="7">
        <v>0</v>
      </c>
      <c r="H491" s="7">
        <v>30000</v>
      </c>
      <c r="I491" s="7">
        <v>0</v>
      </c>
      <c r="J491" s="7">
        <v>0</v>
      </c>
      <c r="K491" s="7">
        <v>33000</v>
      </c>
      <c r="L491" s="7"/>
      <c r="M491" s="7"/>
      <c r="N491" s="7">
        <f t="shared" si="54"/>
        <v>33000</v>
      </c>
      <c r="O491" s="7">
        <v>0</v>
      </c>
      <c r="P491" s="20">
        <v>0</v>
      </c>
      <c r="Q491" s="20">
        <f>N491</f>
        <v>33000</v>
      </c>
    </row>
    <row r="492" spans="1:17" s="168" customFormat="1" ht="27.75" customHeight="1">
      <c r="A492" s="19"/>
      <c r="B492" s="19" t="s">
        <v>277</v>
      </c>
      <c r="C492" s="282" t="s">
        <v>35</v>
      </c>
      <c r="D492" s="7"/>
      <c r="E492" s="7"/>
      <c r="F492" s="7"/>
      <c r="G492" s="7"/>
      <c r="H492" s="7"/>
      <c r="I492" s="7"/>
      <c r="J492" s="7"/>
      <c r="K492" s="7">
        <v>0</v>
      </c>
      <c r="L492" s="7"/>
      <c r="M492" s="7">
        <v>0</v>
      </c>
      <c r="N492" s="7">
        <f t="shared" si="54"/>
        <v>0</v>
      </c>
      <c r="O492" s="7">
        <v>0</v>
      </c>
      <c r="P492" s="20">
        <f>N492</f>
        <v>0</v>
      </c>
      <c r="Q492" s="20">
        <v>0</v>
      </c>
    </row>
    <row r="493" spans="1:17" s="168" customFormat="1" ht="24" customHeight="1">
      <c r="A493" s="183" t="s">
        <v>491</v>
      </c>
      <c r="B493" s="293"/>
      <c r="C493" s="182" t="s">
        <v>315</v>
      </c>
      <c r="D493" s="154" t="e">
        <f>#REF!</f>
        <v>#REF!</v>
      </c>
      <c r="E493" s="154">
        <f>E496+E497+E494</f>
        <v>15000</v>
      </c>
      <c r="F493" s="154">
        <f>F496+F497+F494</f>
        <v>0</v>
      </c>
      <c r="G493" s="154">
        <f>G496+G497+G494</f>
        <v>0</v>
      </c>
      <c r="H493" s="154" t="e">
        <f>H496+H497+#REF!</f>
        <v>#REF!</v>
      </c>
      <c r="I493" s="154" t="e">
        <f>I496+I497+#REF!</f>
        <v>#REF!</v>
      </c>
      <c r="J493" s="154" t="e">
        <f>J496+J497+#REF!</f>
        <v>#REF!</v>
      </c>
      <c r="K493" s="154">
        <f>SUM(K496:K497)</f>
        <v>7100</v>
      </c>
      <c r="L493" s="154">
        <f>SUM(L496:L497)</f>
        <v>0</v>
      </c>
      <c r="M493" s="154">
        <f>SUM(M496:M497)</f>
        <v>0</v>
      </c>
      <c r="N493" s="154">
        <f t="shared" si="54"/>
        <v>7100</v>
      </c>
      <c r="O493" s="154">
        <f>SUM(O496:O497)</f>
        <v>0</v>
      </c>
      <c r="P493" s="154">
        <f>SUM(P496:P497)</f>
        <v>7100</v>
      </c>
      <c r="Q493" s="154">
        <f>SUM(Q496:Q497)</f>
        <v>0</v>
      </c>
    </row>
    <row r="494" spans="1:17" s="168" customFormat="1" ht="14.25" customHeight="1" hidden="1">
      <c r="A494" s="22"/>
      <c r="B494" s="19"/>
      <c r="C494" s="25" t="s">
        <v>284</v>
      </c>
      <c r="D494" s="16"/>
      <c r="E494" s="16">
        <v>240</v>
      </c>
      <c r="F494" s="16">
        <v>0</v>
      </c>
      <c r="G494" s="16">
        <v>0</v>
      </c>
      <c r="H494" s="7"/>
      <c r="I494" s="7"/>
      <c r="J494" s="7"/>
      <c r="K494" s="7"/>
      <c r="L494" s="7"/>
      <c r="M494" s="7"/>
      <c r="N494" s="7">
        <f aca="true" t="shared" si="62" ref="N494:N512">K494+L494-M494</f>
        <v>0</v>
      </c>
      <c r="O494" s="16">
        <v>0</v>
      </c>
      <c r="P494" s="17">
        <f>H494</f>
        <v>0</v>
      </c>
      <c r="Q494" s="17">
        <v>0</v>
      </c>
    </row>
    <row r="495" spans="1:17" s="168" customFormat="1" ht="28.5" customHeight="1" hidden="1">
      <c r="A495" s="22"/>
      <c r="B495" s="19" t="s">
        <v>305</v>
      </c>
      <c r="C495" s="8" t="s">
        <v>484</v>
      </c>
      <c r="D495" s="16"/>
      <c r="E495" s="16"/>
      <c r="F495" s="16"/>
      <c r="G495" s="16"/>
      <c r="H495" s="7">
        <v>0</v>
      </c>
      <c r="I495" s="7">
        <v>0</v>
      </c>
      <c r="J495" s="7">
        <v>0</v>
      </c>
      <c r="K495" s="7"/>
      <c r="L495" s="7"/>
      <c r="M495" s="7"/>
      <c r="N495" s="7">
        <f t="shared" si="62"/>
        <v>0</v>
      </c>
      <c r="O495" s="16">
        <v>0</v>
      </c>
      <c r="P495" s="17">
        <v>0</v>
      </c>
      <c r="Q495" s="17">
        <v>0</v>
      </c>
    </row>
    <row r="496" spans="1:17" s="168" customFormat="1" ht="25.5" customHeight="1">
      <c r="A496" s="22"/>
      <c r="B496" s="19" t="s">
        <v>247</v>
      </c>
      <c r="C496" s="25" t="s">
        <v>274</v>
      </c>
      <c r="D496" s="16"/>
      <c r="E496" s="16">
        <v>10760</v>
      </c>
      <c r="F496" s="16">
        <v>0</v>
      </c>
      <c r="G496" s="16">
        <v>0</v>
      </c>
      <c r="H496" s="7">
        <v>3570</v>
      </c>
      <c r="I496" s="7">
        <v>0</v>
      </c>
      <c r="J496" s="7">
        <v>0</v>
      </c>
      <c r="K496" s="7">
        <v>5600</v>
      </c>
      <c r="L496" s="7">
        <v>0</v>
      </c>
      <c r="M496" s="7"/>
      <c r="N496" s="7">
        <f t="shared" si="62"/>
        <v>5600</v>
      </c>
      <c r="O496" s="16">
        <v>0</v>
      </c>
      <c r="P496" s="17">
        <f>N496</f>
        <v>5600</v>
      </c>
      <c r="Q496" s="17">
        <v>0</v>
      </c>
    </row>
    <row r="497" spans="1:17" s="168" customFormat="1" ht="24.75" customHeight="1">
      <c r="A497" s="22"/>
      <c r="B497" s="19" t="s">
        <v>253</v>
      </c>
      <c r="C497" s="25" t="s">
        <v>254</v>
      </c>
      <c r="D497" s="16"/>
      <c r="E497" s="16">
        <v>4000</v>
      </c>
      <c r="F497" s="16">
        <v>0</v>
      </c>
      <c r="G497" s="16">
        <v>0</v>
      </c>
      <c r="H497" s="7">
        <v>1480</v>
      </c>
      <c r="I497" s="7">
        <v>0</v>
      </c>
      <c r="J497" s="7">
        <v>0</v>
      </c>
      <c r="K497" s="7">
        <v>1500</v>
      </c>
      <c r="L497" s="7"/>
      <c r="M497" s="7">
        <v>0</v>
      </c>
      <c r="N497" s="7">
        <f t="shared" si="62"/>
        <v>1500</v>
      </c>
      <c r="O497" s="16">
        <v>0</v>
      </c>
      <c r="P497" s="17">
        <f>N497</f>
        <v>1500</v>
      </c>
      <c r="Q497" s="17">
        <v>0</v>
      </c>
    </row>
    <row r="498" spans="1:17" s="168" customFormat="1" ht="26.25" customHeight="1">
      <c r="A498" s="158" t="s">
        <v>492</v>
      </c>
      <c r="B498" s="158"/>
      <c r="C498" s="164" t="s">
        <v>493</v>
      </c>
      <c r="D498" s="159" t="e">
        <f>D499+D501</f>
        <v>#REF!</v>
      </c>
      <c r="E498" s="159" t="e">
        <f>E499+E501</f>
        <v>#REF!</v>
      </c>
      <c r="F498" s="159" t="e">
        <f aca="true" t="shared" si="63" ref="F498:K498">F501</f>
        <v>#REF!</v>
      </c>
      <c r="G498" s="159" t="e">
        <f t="shared" si="63"/>
        <v>#REF!</v>
      </c>
      <c r="H498" s="159">
        <f t="shared" si="63"/>
        <v>16000</v>
      </c>
      <c r="I498" s="159">
        <f t="shared" si="63"/>
        <v>0</v>
      </c>
      <c r="J498" s="159">
        <f t="shared" si="63"/>
        <v>0</v>
      </c>
      <c r="K498" s="159">
        <f t="shared" si="63"/>
        <v>16000</v>
      </c>
      <c r="L498" s="159"/>
      <c r="M498" s="159">
        <v>0</v>
      </c>
      <c r="N498" s="159">
        <f t="shared" si="62"/>
        <v>16000</v>
      </c>
      <c r="O498" s="159">
        <f>O501</f>
        <v>0</v>
      </c>
      <c r="P498" s="161">
        <f>P501</f>
        <v>16000</v>
      </c>
      <c r="Q498" s="161">
        <f>Q501</f>
        <v>0</v>
      </c>
    </row>
    <row r="499" spans="1:17" s="168" customFormat="1" ht="21.75" customHeight="1">
      <c r="A499" s="13" t="s">
        <v>494</v>
      </c>
      <c r="B499" s="24"/>
      <c r="C499" s="3" t="s">
        <v>495</v>
      </c>
      <c r="D499" s="6">
        <f>D500</f>
        <v>0</v>
      </c>
      <c r="E499" s="6">
        <f>E500</f>
        <v>0</v>
      </c>
      <c r="F499" s="6"/>
      <c r="G499" s="6"/>
      <c r="H499" s="6"/>
      <c r="I499" s="6"/>
      <c r="J499" s="6"/>
      <c r="K499" s="6"/>
      <c r="L499" s="6"/>
      <c r="M499" s="6"/>
      <c r="N499" s="7">
        <f t="shared" si="62"/>
        <v>0</v>
      </c>
      <c r="O499" s="6"/>
      <c r="P499" s="15"/>
      <c r="Q499" s="15"/>
    </row>
    <row r="500" spans="1:17" s="168" customFormat="1" ht="22.5" customHeight="1">
      <c r="A500" s="19"/>
      <c r="B500" s="24" t="s">
        <v>277</v>
      </c>
      <c r="C500" s="8" t="s">
        <v>496</v>
      </c>
      <c r="D500" s="7">
        <v>0</v>
      </c>
      <c r="E500" s="7">
        <v>0</v>
      </c>
      <c r="F500" s="7"/>
      <c r="G500" s="7"/>
      <c r="H500" s="7"/>
      <c r="I500" s="7"/>
      <c r="J500" s="7"/>
      <c r="K500" s="7"/>
      <c r="L500" s="7"/>
      <c r="M500" s="7"/>
      <c r="N500" s="7">
        <f t="shared" si="62"/>
        <v>0</v>
      </c>
      <c r="O500" s="7"/>
      <c r="P500" s="20"/>
      <c r="Q500" s="20"/>
    </row>
    <row r="501" spans="1:17" s="168" customFormat="1" ht="25.5" customHeight="1">
      <c r="A501" s="183" t="s">
        <v>497</v>
      </c>
      <c r="B501" s="181"/>
      <c r="C501" s="182" t="s">
        <v>315</v>
      </c>
      <c r="D501" s="154" t="e">
        <f>#REF!</f>
        <v>#REF!</v>
      </c>
      <c r="E501" s="154" t="e">
        <f>#REF!+E502</f>
        <v>#REF!</v>
      </c>
      <c r="F501" s="154" t="e">
        <f>#REF!+F502</f>
        <v>#REF!</v>
      </c>
      <c r="G501" s="154" t="e">
        <f>#REF!+G502</f>
        <v>#REF!</v>
      </c>
      <c r="H501" s="154">
        <f aca="true" t="shared" si="64" ref="H501:Q501">H502</f>
        <v>16000</v>
      </c>
      <c r="I501" s="154">
        <f t="shared" si="64"/>
        <v>0</v>
      </c>
      <c r="J501" s="154">
        <f t="shared" si="64"/>
        <v>0</v>
      </c>
      <c r="K501" s="154">
        <f>K502</f>
        <v>16000</v>
      </c>
      <c r="L501" s="154"/>
      <c r="M501" s="154"/>
      <c r="N501" s="154">
        <f t="shared" si="62"/>
        <v>16000</v>
      </c>
      <c r="O501" s="154">
        <f t="shared" si="64"/>
        <v>0</v>
      </c>
      <c r="P501" s="154">
        <f t="shared" si="64"/>
        <v>16000</v>
      </c>
      <c r="Q501" s="154">
        <f t="shared" si="64"/>
        <v>0</v>
      </c>
    </row>
    <row r="502" spans="1:17" s="168" customFormat="1" ht="45" customHeight="1">
      <c r="A502" s="22"/>
      <c r="B502" s="26" t="s">
        <v>470</v>
      </c>
      <c r="C502" s="282" t="s">
        <v>403</v>
      </c>
      <c r="D502" s="16"/>
      <c r="E502" s="16">
        <v>14200</v>
      </c>
      <c r="F502" s="16">
        <v>0</v>
      </c>
      <c r="G502" s="16">
        <v>0</v>
      </c>
      <c r="H502" s="16">
        <v>16000</v>
      </c>
      <c r="I502" s="16">
        <v>0</v>
      </c>
      <c r="J502" s="16">
        <v>0</v>
      </c>
      <c r="K502" s="7">
        <v>16000</v>
      </c>
      <c r="L502" s="7"/>
      <c r="M502" s="16"/>
      <c r="N502" s="7">
        <f t="shared" si="62"/>
        <v>16000</v>
      </c>
      <c r="O502" s="16">
        <v>0</v>
      </c>
      <c r="P502" s="17">
        <f>N502</f>
        <v>16000</v>
      </c>
      <c r="Q502" s="17">
        <v>0</v>
      </c>
    </row>
    <row r="503" spans="1:17" s="168" customFormat="1" ht="24" customHeight="1">
      <c r="A503" s="169"/>
      <c r="B503" s="170"/>
      <c r="C503" s="171" t="s">
        <v>498</v>
      </c>
      <c r="D503" s="172" t="e">
        <f>D9+D31+D37+D58+D70+D87+D146+D173+D179+D183+D298+D312+D423+D489+D498</f>
        <v>#REF!</v>
      </c>
      <c r="E503" s="172" t="e">
        <f>E9+E31+E37+E58+E70+E87+E146+E173+E179+E183+E298+E312+E423+E489+E498</f>
        <v>#REF!</v>
      </c>
      <c r="F503" s="172" t="e">
        <f>F498+F489+F423+F312+F298+F183+F179+F173+F146+F87+F70+F58+F37+F31+F9</f>
        <v>#REF!</v>
      </c>
      <c r="G503" s="172" t="e">
        <f>G498+G489+G423+G312+G298+G183+G179+G173+G146+G87+G70+G58+G37+G31+G9</f>
        <v>#REF!</v>
      </c>
      <c r="H503" s="172" t="e">
        <f>H498+H489+H423+H312+H298+H183+H179+H173+H146+#REF!+H87+H70+H58+H37+H31+H9+#REF!</f>
        <v>#REF!</v>
      </c>
      <c r="I503" s="172" t="e">
        <f>I498+I489+I423+I312+I298+I183+I179+I173+I146+#REF!+I87+I70+I58+I37+I31+I9+#REF!</f>
        <v>#REF!</v>
      </c>
      <c r="J503" s="172" t="e">
        <f>J498+J489+J423+J312+J298+J183+J179+J173+J146+#REF!+J87+J70+J58+J37+J31+J9+#REF!</f>
        <v>#REF!</v>
      </c>
      <c r="K503" s="172">
        <f>K9+K31+K37+K58+K70+K87+K146+K173+K179+K183+K288+K298+K312+K384+K423+K489+K498</f>
        <v>34299045</v>
      </c>
      <c r="L503" s="172">
        <f>L9+L31+L37+L58+L70+L87+L146+L173+L179+L183+L288+L298+L312+L384+L423+L489+L498</f>
        <v>336930</v>
      </c>
      <c r="M503" s="172">
        <f>M9+M31+M37+M58+M70+M87+M146+M173+M179+M183+M288+M298+M312+M384+M423+M489+M498</f>
        <v>215972</v>
      </c>
      <c r="N503" s="172">
        <f t="shared" si="62"/>
        <v>34420003</v>
      </c>
      <c r="O503" s="172">
        <f>O9+O31+O37+O58+O70+O87+O146+O173+O179+O183+O288+O298+O312+O384+O423+O489+O498</f>
        <v>3206295</v>
      </c>
      <c r="P503" s="172">
        <f>P9+P31+P37+P58+P70+P87+P146+P173+P179+P183+P288+P298+P312+P384+P423+P489+P498</f>
        <v>30762689</v>
      </c>
      <c r="Q503" s="172">
        <f>Q9+Q31+Q37+Q58+Q70+Q87+Q146+Q173+Q179+Q183+Q288+Q298+Q312+Q384+Q423+Q489+Q498</f>
        <v>451019</v>
      </c>
    </row>
    <row r="504" spans="1:17" s="168" customFormat="1" ht="17.25" customHeight="1">
      <c r="A504" s="7"/>
      <c r="B504" s="589" t="s">
        <v>499</v>
      </c>
      <c r="C504" s="589"/>
      <c r="D504" s="2" t="s">
        <v>500</v>
      </c>
      <c r="E504" s="2" t="s">
        <v>500</v>
      </c>
      <c r="F504" s="2" t="s">
        <v>500</v>
      </c>
      <c r="G504" s="2" t="s">
        <v>500</v>
      </c>
      <c r="H504" s="2"/>
      <c r="I504" s="2"/>
      <c r="J504" s="2"/>
      <c r="K504" s="2"/>
      <c r="L504" s="2"/>
      <c r="M504" s="2"/>
      <c r="N504" s="7"/>
      <c r="O504" s="2"/>
      <c r="P504" s="2"/>
      <c r="Q504" s="2"/>
    </row>
    <row r="505" spans="1:17" s="168" customFormat="1" ht="20.25" customHeight="1">
      <c r="A505" s="33"/>
      <c r="B505" s="594" t="s">
        <v>501</v>
      </c>
      <c r="C505" s="595"/>
      <c r="D505" s="595"/>
      <c r="E505" s="295" t="e">
        <f aca="true" t="shared" si="65" ref="E505:J505">E503-E510</f>
        <v>#REF!</v>
      </c>
      <c r="F505" s="295" t="e">
        <f t="shared" si="65"/>
        <v>#REF!</v>
      </c>
      <c r="G505" s="295" t="e">
        <f t="shared" si="65"/>
        <v>#REF!</v>
      </c>
      <c r="H505" s="295" t="e">
        <f t="shared" si="65"/>
        <v>#REF!</v>
      </c>
      <c r="I505" s="295" t="e">
        <f t="shared" si="65"/>
        <v>#REF!</v>
      </c>
      <c r="J505" s="295" t="e">
        <f t="shared" si="65"/>
        <v>#REF!</v>
      </c>
      <c r="K505" s="295">
        <f>K503-K510</f>
        <v>26388352</v>
      </c>
      <c r="L505" s="295">
        <f>L503-L510</f>
        <v>317951</v>
      </c>
      <c r="M505" s="295">
        <f>M503-M510</f>
        <v>156846</v>
      </c>
      <c r="N505" s="296">
        <f t="shared" si="62"/>
        <v>26549457</v>
      </c>
      <c r="O505" s="295">
        <f>O503-O510</f>
        <v>3206295</v>
      </c>
      <c r="P505" s="295">
        <f>P503-P510</f>
        <v>22934143</v>
      </c>
      <c r="Q505" s="295">
        <f>Q503-Q510</f>
        <v>409019</v>
      </c>
    </row>
    <row r="506" spans="1:17" s="168" customFormat="1" ht="20.25" customHeight="1">
      <c r="A506" s="33"/>
      <c r="B506" s="601" t="s">
        <v>502</v>
      </c>
      <c r="C506" s="602"/>
      <c r="D506" s="602"/>
      <c r="E506" s="7" t="e">
        <f>E13+E15+E40+E41+E76+E78+E89+E90+E109+E110+#REF!+#REF!+#REF!+#REF!+#REF!+#REF!+E186+E187+E201+E202+E213+E214+#REF!+#REF!+E242+E243+#REF!+#REF!+E266+E267+#REF!+#REF!+E316+E317+E332+E333+E353+E354+E386+E394+E395+E426+E427+E442+E443+E457+E458+E14+E149+E150+E151+E152+E153+#REF!+#REF!+#REF!</f>
        <v>#REF!</v>
      </c>
      <c r="F506" s="7" t="e">
        <f>F13+F15+F40+F41+F76+F78+F89+F90+F109+F110+#REF!+#REF!+#REF!+#REF!+#REF!+#REF!+F186+F187+F201+F202+F213+F214+#REF!+#REF!+F242+F243+#REF!+#REF!+F266+F267+#REF!+#REF!+F316+F317+F332+F333+F353+F354+F386+F394+F395+F426+F427+F442+F443+F457+F458+F14+F149+F150+F151+F152+F153+#REF!+#REF!+#REF!</f>
        <v>#REF!</v>
      </c>
      <c r="G506" s="7" t="e">
        <f>G13+G15+G40+G41+G76+G78+G89+G90+G109+G110+#REF!+#REF!+#REF!+#REF!+#REF!+#REF!+G186+G187+G201+G202+G213+G214+#REF!+#REF!+G242+G243+#REF!+#REF!+G266+G267+#REF!+#REF!+G316+G317+G332+G333+G353+G354+G386+G394+G395+G426+G427+G442+G443+G457+G458+G14+G149+G150+G151+G152+G153+#REF!+#REF!+#REF!</f>
        <v>#REF!</v>
      </c>
      <c r="H506" s="7" t="e">
        <f>H13+H14+H15+H40+H41+H76+H77+H78+H89+H90+H109+H110+#REF!+#REF!+#REF!+#REF!+#REF!+#REF!+#REF!+H149+H150+H151+H152+H153+#REF!++H186+H187+H201+H202+H213+H214+H242+H243+#REF!+H266+H267+H316+H317+H332+H333+H353+H354+H386+H387+#REF!+#REF!+H394+H395+H426+H427+H442+H443+H457+H458+H281+H232</f>
        <v>#REF!</v>
      </c>
      <c r="I506" s="7" t="e">
        <f>I13+I14+I15+I40+I41+I76+I77+I78+I89+I90+I109+I110+#REF!+#REF!+#REF!+#REF!+#REF!+#REF!+#REF!+I149+I150+I151+I152+I153+#REF!++I186+I187+I201+I202+I213+I214+I242+I243+#REF!+I266+I267+I316+I317+I332+I333+I353+I354+I386+I387+#REF!+#REF!+I394+I395+I426+I427+I442+I443+I457+I458+I281+I232</f>
        <v>#REF!</v>
      </c>
      <c r="J506" s="7" t="e">
        <f>J13+J14+J15+J40+J41+J76+J77+J78+J89+J90+J109+J110+#REF!+#REF!+#REF!+#REF!+#REF!+#REF!+#REF!+J149+J150+J151+J152+J153+#REF!++J186+J187+J201+J202+J213+J214+J242+J243+#REF!+J266+J267+J316+J317+J332+J333+J353+J354+J386+J387+#REF!+#REF!+J394+J395+J426+J427+J442+J443+J457+J458+J281+J232</f>
        <v>#REF!</v>
      </c>
      <c r="K506" s="511">
        <f>K40+K41+K44+K60+K76+K77+K78+K89+K90+K93+K109+K110+K113+K132+K138+K142+K149+K150+K151+K152+K153+K170+K186+K187+K190+K201+K202+K213+K214+K219+K232+K233+K242+K243+K247+K266+K267+K276+K281+K284+K292+K293+K305+K316+K317+K320+K332+K333+K353+K354+K357+K366+K386+K387+K394+K395+K398+K409+K410+K415+K416+K426+K427+K442+K443+K446+K457+K458+K461+K476+K477+K484</f>
        <v>13506491</v>
      </c>
      <c r="L506" s="511">
        <f>L40+L41+L44+L60+L76+L77+L78+L89+L90+L93+L109+L110+L113+L132+L138+L142+L149+L150+L151+L152+L153+L170+L186+L187+L190+L201+L202+L213+L214+L219+L232+L233+L242+L243+L247+L266+L267+L276+L281+L284+L292+L293+L305+L316+L317+L320+L332+L333+L353+L354+L357+L366+L386+L387+L394+L395+L398+L409+L410+L415+L416+L426+L427+L442+L443+L446+L457+L458+L461+L476+L477+L484</f>
        <v>65283</v>
      </c>
      <c r="M506" s="511">
        <f>M40+M41+M44+M60+M76+M77+M78+M89+M90+M93+M109+M110+M113+M132+M138+M142+M149+M150+M151+M152+M153+M170+M186+M187+M190+M201+M202+M213+M214+M219+M232+M233+M242+M243+M247+M266+M267+M276+M281+M284+M292+M293+M305+M316+M317+M320+M332+M333+M353+M354+M357+M366+M386+M387+M394+M395+M398+M409+M410+M415+M416+M426+M427+M442+M443+M446+M457+M458+M461+M476+M477+M484</f>
        <v>110835</v>
      </c>
      <c r="N506" s="7">
        <f t="shared" si="62"/>
        <v>13460939</v>
      </c>
      <c r="O506" s="7">
        <f>O60+O76+O77+O78+O89+O90+O93+O132+O149+O150+O151+O152+O153</f>
        <v>1881086</v>
      </c>
      <c r="P506" s="7">
        <f>P40+P41+P44+P109+P110+P113+P138+P142+P186+P187+P190+P201+P202+P213+P214+P219+P232+P233+P242+P243+P247+P266+P267+P276+P281+P284+P292+P293+P305+P316+P317+P320+P332+P333+P353+P354+P357+P366+P386+P387+P394+P395+P398+P409+P410+P415+P416+P426+P427+P442+P443+P446+P457+P458+P461+P476+P477+P484</f>
        <v>11579153</v>
      </c>
      <c r="Q506" s="7">
        <f>Q40+Q41+Q44+Q76+Q77+Q78+Q89+Q90+Q93+Q109+Q110+Q112+Q132+Q138+Q142+Q149+Q150+Q151+Q152+Q153+Q186+Q187+Q190+Q201+Q202+Q213+Q214+Q219+Q232+Q233+Q242+Q243+Q247+Q266+Q267+Q276+Q281+Q284+Q292+Q293+Q305+Q316+Q317+Q332+Q333+Q353+Q354+Q357+Q366+Q386+Q387+Q394+Q395+Q398+Q426+Q427+Q442+Q443+Q446+Q457+Q458+Q461+Q476+Q477+Q484</f>
        <v>0</v>
      </c>
    </row>
    <row r="507" spans="1:17" s="168" customFormat="1" ht="18.75" customHeight="1">
      <c r="A507" s="33"/>
      <c r="B507" s="601" t="s">
        <v>503</v>
      </c>
      <c r="C507" s="602"/>
      <c r="D507" s="602"/>
      <c r="E507" s="7" t="e">
        <f>E16+E17+E42+E43+E79+E80+E91+E92+E111+E113+E130+E131+#REF!+#REF!+E154+E155+E188+E189+E203+E204+E215+E216+E244+E245+#REF!+#REF!+#REF!+#REF!+E268+E269+#REF!+#REF!+E318+E319+E334+E335+E355+E356+E388+E389+E396+E397+E428+E429+E444+E445+E459+E460+E277+#REF!+#REF!+#REF!+#REF!+#REF!</f>
        <v>#REF!</v>
      </c>
      <c r="F507" s="7" t="e">
        <f>F16+F17+F42+F43+F79+F80+F91+F92+F111+F113+F130+F131+#REF!+#REF!+F154+F155+F188+F189+F203+F204+F215+F216+F244+F245+#REF!+#REF!+#REF!+#REF!+F268+F269+#REF!+#REF!+F318+F319+F334+F335+F355+F356+F388+F389+F396+F397+F428+F429+F444+F445+F459+F460+F277+#REF!+#REF!+#REF!+#REF!+#REF!</f>
        <v>#REF!</v>
      </c>
      <c r="G507" s="7" t="e">
        <f>G16+G17+G42+G43+G79+G80+G91+G92+G111+G113+G130+G131+#REF!+#REF!+G154+G155+G188+G189+G203+G204+G215+G216+G244+G245+#REF!+#REF!+#REF!+#REF!+G268+G269+#REF!+#REF!+G318+G319+G334+G335+G355+G356+G388+G389+G396+G397+G428+G429+G444+G445+G459+G460+G277+#REF!+#REF!+#REF!+#REF!+#REF!</f>
        <v>#REF!</v>
      </c>
      <c r="H507" s="7" t="e">
        <f>H16+H17+H42+H43+H79+H80+H91+H92+H111+H113+H130+H131+#REF!+#REF!+H154+H155+H188+H189+H203+H204+H215+H216+H244+H245+#REF!+#REF!+H268+H269+H318+H319+H334+H335+H355+H356+H388+H389+#REF!+#REF!+H396+H397+H428+H429+H444+H445+H459+H460+#REF!+#REF!+H282+H283+H234+H235</f>
        <v>#REF!</v>
      </c>
      <c r="I507" s="7" t="e">
        <f>I16+I17+I42+I43+I79+I80+I91+I92+I111+I113+I130+I131+#REF!+#REF!+I154+I155+I188+I189+I203+I204+I215+I216+I244+I245+#REF!+#REF!+I268+I269+I318+I319+I334+I335+I355+I356+I388+I389+#REF!+#REF!+I396+I397+I428+I429+I444+I445+I459+I460+#REF!+#REF!+I282+I283+I234+I235</f>
        <v>#REF!</v>
      </c>
      <c r="J507" s="7" t="e">
        <f>J16+J17+J42+J43+J79+J80+J91+J92+J111+J113+J130+J131+#REF!+#REF!+J154+J155+J188+J189+J203+J204+J215+J216+J244+J245+#REF!+#REF!+J268+J269+J318+J319+J334+J335+J355+J356+J388+J389+#REF!+#REF!+J396+J397+J428+J429+J444+J445+J459+J460+#REF!+#REF!+J282+J283+J234+J235</f>
        <v>#REF!</v>
      </c>
      <c r="K507" s="7">
        <f>K42+K43+K79+K80+K91+K92+K111+K112+K130+K131+K154+K155+K188+K189+K203+K204+K215+K216+K234+K235+K244+K245+K268+K269+K282+K283+K306+K307+K318+K319+K334+K335+K355+K356+K367+K368+K388+K389+K396+K397+K411+K412+K413+K414+K428+K429+K444+K445+K459+K460</f>
        <v>2263615</v>
      </c>
      <c r="L507" s="7">
        <f>L42+L43+L79+L80+L91+L92+L111+L112+L130+L131+L154+L155+L188+L189+L203+L204+L215+L216+L234+L235+L244+L245+L268+L269+L282+L283+L306+L307+L318+L319+L334+L335+L355+L356+L367+L368+L388+L389+L396+L397+L411+L412+L413+L414+L428+L429+L444+L445+L459+L460</f>
        <v>5522</v>
      </c>
      <c r="M507" s="7">
        <f>M42+M43+M79+M80+M91+M92+M111+M112+M130+M131+M154+M155+M188+M189+M203+M204+M215+M216+M234+M235+M244+M245+M268+M269+M282+M283+M306+M307+M318+M319+M334+M335+M355+M356+M367+M368+M388+M389+M396+M397+M411+M412+M413+M414+M428+M429+M444+M445+M459+M460</f>
        <v>3282</v>
      </c>
      <c r="N507" s="7">
        <f t="shared" si="62"/>
        <v>2265855</v>
      </c>
      <c r="O507" s="7">
        <f>O79+O80+O91+O92+O130+O131+O154+O155</f>
        <v>56729</v>
      </c>
      <c r="P507" s="7">
        <f>P42+P43+P111+P112+P188+P189+P203+P204+P215+P216+P234+P235+P244+P245+P268+P269+P282+P283+P306+P307+P318+P319+P334+P335+P355+P356+P367+P368+P388+P389+P396+P397+P411+P412+P413+P414+P428+P429+P444+P445+P459+P460</f>
        <v>2209126</v>
      </c>
      <c r="Q507" s="7">
        <f>Q42+Q43+Q79+Q80+Q91+Q92+Q111+Q113+Q130+Q131+Q154+Q155+Q188+Q189+Q203+Q204+Q215+Q216+Q234+Q235+Q244+Q245+Q268+Q269+Q282+Q283+Q306+Q307+Q318+Q319+Q334+Q335+Q355+Q356+Q367+Q368+Q388+Q389+Q396+Q397+Q428+Q429+Q444+Q445+Q459+Q460</f>
        <v>0</v>
      </c>
    </row>
    <row r="508" spans="1:17" s="168" customFormat="1" ht="25.5" customHeight="1">
      <c r="A508" s="33"/>
      <c r="B508" s="603" t="s">
        <v>201</v>
      </c>
      <c r="C508" s="600"/>
      <c r="D508" s="600"/>
      <c r="E508" s="7" t="e">
        <f>E123+E228+E262+#REF!+#REF!+#REF!+E279+E483+E491+#REF!+#REF!+#REF!+#REF!+#REF!+E300</f>
        <v>#REF!</v>
      </c>
      <c r="F508" s="7" t="e">
        <f>F123+F228+F262+#REF!+#REF!+#REF!+#REF!+F483+F491+F278+#REF!+#REF!+#REF!+#REF!+#REF!+F300</f>
        <v>#REF!</v>
      </c>
      <c r="G508" s="7" t="e">
        <f>G123+G228+G262+#REF!+#REF!+#REF!+#REF!+G483+G491+G278+#REF!+#REF!+#REF!+#REF!+#REF!+G300</f>
        <v>#REF!</v>
      </c>
      <c r="H508" s="7" t="e">
        <f>H197+H210+H228+H262+#REF!+H279+#REF!+#REF!+#REF!+H483+H491+H502+H95+#REF!+H495+#REF!+H198+#REF!+#REF!+#REF!+H300+#REF!+H30+#REF!</f>
        <v>#REF!</v>
      </c>
      <c r="I508" s="7" t="e">
        <f>I197+I210+I228+I262+#REF!+I279+#REF!+#REF!+#REF!+I483+I491+I502+I95+#REF!+I495+#REF!+I198+#REF!+#REF!+#REF!+I300+#REF!+I30+#REF!</f>
        <v>#REF!</v>
      </c>
      <c r="J508" s="7" t="e">
        <f>J197+J210+J228+J262+#REF!+J279+#REF!+#REF!+#REF!+J483+J491+J502+J95+#REF!+J495+#REF!+J198+#REF!+#REF!+#REF!+J300+#REF!+J30+#REF!</f>
        <v>#REF!</v>
      </c>
      <c r="K508" s="88">
        <f>K30+K99+K125+K137+K197+K199+K210+K228+K262+K274+K279+K300+K330+K348+K349+K483+K491+K502</f>
        <v>1757483</v>
      </c>
      <c r="L508" s="88">
        <f>L30+L99+L125+L137+L197+L199+L210+L228+L262+L274+L279+L300+L330+L348+L349+L483+L491+L502</f>
        <v>0</v>
      </c>
      <c r="M508" s="88">
        <f>M30+M99+M125+M137+M197+M199+M210+M228+M262+M274+M279+M300+M330+M348+M349+M483+M491+M502</f>
        <v>0</v>
      </c>
      <c r="N508" s="7">
        <f t="shared" si="62"/>
        <v>1757483</v>
      </c>
      <c r="O508" s="88">
        <f>O30+O99+O125+O137+O197+O199+O210+O228+O262+O279+O300+O330+O348+O349+O483+O491+O502</f>
        <v>0</v>
      </c>
      <c r="P508" s="88">
        <f>P30+P99+P125+P137+P197+P199+P210+P228+P262+P274+P300+P330+P348+P349+P483+P491+P502</f>
        <v>1348464</v>
      </c>
      <c r="Q508" s="88">
        <f>Q30+Q99+Q125+Q197+Q199+Q210+Q228+Q262+Q279+Q300+Q330+Q348+Q349+Q386+Q483+Q491+Q502</f>
        <v>409019</v>
      </c>
    </row>
    <row r="509" spans="1:17" s="168" customFormat="1" ht="15.75" customHeight="1">
      <c r="A509" s="33"/>
      <c r="B509" s="603" t="s">
        <v>540</v>
      </c>
      <c r="C509" s="600"/>
      <c r="D509" s="600"/>
      <c r="E509" s="7" t="e">
        <f aca="true" t="shared" si="66" ref="E509:Q509">E173</f>
        <v>#REF!</v>
      </c>
      <c r="F509" s="7" t="e">
        <f t="shared" si="66"/>
        <v>#REF!</v>
      </c>
      <c r="G509" s="7" t="e">
        <f t="shared" si="66"/>
        <v>#REF!</v>
      </c>
      <c r="H509" s="7" t="e">
        <f t="shared" si="66"/>
        <v>#REF!</v>
      </c>
      <c r="I509" s="7" t="e">
        <f t="shared" si="66"/>
        <v>#REF!</v>
      </c>
      <c r="J509" s="7" t="e">
        <f t="shared" si="66"/>
        <v>#REF!</v>
      </c>
      <c r="K509" s="7">
        <f>K173</f>
        <v>706093</v>
      </c>
      <c r="L509" s="7">
        <f>L173</f>
        <v>0</v>
      </c>
      <c r="M509" s="7">
        <f>M173</f>
        <v>0</v>
      </c>
      <c r="N509" s="7">
        <f t="shared" si="62"/>
        <v>706093</v>
      </c>
      <c r="O509" s="7">
        <f t="shared" si="66"/>
        <v>0</v>
      </c>
      <c r="P509" s="7">
        <f t="shared" si="66"/>
        <v>706093</v>
      </c>
      <c r="Q509" s="7">
        <f t="shared" si="66"/>
        <v>0</v>
      </c>
    </row>
    <row r="510" spans="1:17" s="168" customFormat="1" ht="15.75" customHeight="1">
      <c r="A510" s="33"/>
      <c r="B510" s="596" t="s">
        <v>541</v>
      </c>
      <c r="C510" s="597"/>
      <c r="D510" s="597"/>
      <c r="E510" s="296" t="e">
        <f>E54+E55+#REF!+#REF!+#REF!+#REF!+#REF!+#REF!+#REF!+#REF!+#REF!+E261+#REF!</f>
        <v>#REF!</v>
      </c>
      <c r="F510" s="296" t="e">
        <f>F54+F55+#REF!+#REF!+#REF!+#REF!+#REF!+#REF!+#REF!+#REF!+#REF!+F261+#REF!</f>
        <v>#REF!</v>
      </c>
      <c r="G510" s="296" t="e">
        <f>G54+G55+#REF!+#REF!+#REF!+#REF!+#REF!+#REF!+#REF!+#REF!+G261+#REF!</f>
        <v>#REF!</v>
      </c>
      <c r="H510" s="296" t="e">
        <f>H54+#REF!+#REF!+#REF!+#REF!+#REF!+#REF!+H261+#REF!+#REF!+#REF!+#REF!+H303+H346+#REF!</f>
        <v>#REF!</v>
      </c>
      <c r="I510" s="296" t="e">
        <f>I54+#REF!+#REF!+#REF!+#REF!+#REF!+#REF!+I261+#REF!+#REF!+#REF!+#REF!+I303+I346+#REF!</f>
        <v>#REF!</v>
      </c>
      <c r="J510" s="296" t="e">
        <f>J54+#REF!+#REF!+#REF!+#REF!+#REF!+#REF!+J261+#REF!+#REF!+#REF!+#REF!+J303+J346+#REF!</f>
        <v>#REF!</v>
      </c>
      <c r="K510" s="296">
        <f>K511+K512</f>
        <v>7910693</v>
      </c>
      <c r="L510" s="296">
        <f>L511+L512</f>
        <v>18979</v>
      </c>
      <c r="M510" s="296">
        <f>M511+M512</f>
        <v>59126</v>
      </c>
      <c r="N510" s="296">
        <f t="shared" si="62"/>
        <v>7870546</v>
      </c>
      <c r="O510" s="296">
        <f>O511+O512</f>
        <v>0</v>
      </c>
      <c r="P510" s="296">
        <f>P511+P512</f>
        <v>7828546</v>
      </c>
      <c r="Q510" s="296">
        <f>Q511+Q512</f>
        <v>42000</v>
      </c>
    </row>
    <row r="511" spans="1:17" s="168" customFormat="1" ht="15.75" customHeight="1">
      <c r="A511" s="33"/>
      <c r="B511" s="598" t="s">
        <v>67</v>
      </c>
      <c r="C511" s="599"/>
      <c r="D511" s="128"/>
      <c r="E511" s="7"/>
      <c r="F511" s="7"/>
      <c r="G511" s="7"/>
      <c r="H511" s="7"/>
      <c r="I511" s="113"/>
      <c r="J511" s="7"/>
      <c r="K511" s="7">
        <f>+K126</f>
        <v>42000</v>
      </c>
      <c r="L511" s="7">
        <f>+L126</f>
        <v>0</v>
      </c>
      <c r="M511" s="7">
        <f>+M126</f>
        <v>0</v>
      </c>
      <c r="N511" s="7">
        <f t="shared" si="62"/>
        <v>42000</v>
      </c>
      <c r="O511" s="7">
        <f>+O126</f>
        <v>0</v>
      </c>
      <c r="P511" s="7">
        <f>+P126</f>
        <v>0</v>
      </c>
      <c r="Q511" s="7">
        <f>+Q126</f>
        <v>42000</v>
      </c>
    </row>
    <row r="512" spans="1:17" s="168" customFormat="1" ht="17.25" customHeight="1">
      <c r="A512" s="34"/>
      <c r="B512" s="600" t="s">
        <v>673</v>
      </c>
      <c r="C512" s="600"/>
      <c r="D512" s="600"/>
      <c r="E512" s="7" t="e">
        <f>E54+E55+#REF!+#REF!+#REF!+#REF!+#REF!+#REF!+#REF!+#REF!+#REF!+E261+#REF!</f>
        <v>#REF!</v>
      </c>
      <c r="F512" s="7" t="e">
        <f>F54+F55+#REF!+#REF!+#REF!+#REF!+#REF!+#REF!+#REF!+#REF!+#REF!+F261+#REF!</f>
        <v>#REF!</v>
      </c>
      <c r="G512" s="7" t="e">
        <f>G54+G55+#REF!+#REF!+#REF!+#REF!+#REF!+#REF!+#REF!+#REF!+#REF!+G261+#REF!</f>
        <v>#REF!</v>
      </c>
      <c r="H512" s="7" t="e">
        <f>H510</f>
        <v>#REF!</v>
      </c>
      <c r="I512" s="113" t="e">
        <f>I510</f>
        <v>#REF!</v>
      </c>
      <c r="J512" s="7" t="e">
        <f>J510</f>
        <v>#REF!</v>
      </c>
      <c r="K512" s="7">
        <f>K54+K55+K56+K57+K69+K127+K168+K209+K261+K301+K302+K303+K346+K405+K439+K469+K470+K471+K492</f>
        <v>7868693</v>
      </c>
      <c r="L512" s="7">
        <f>L54+L55+L56+L57+L69+L127+L168+L209+L261+L301+L302+L303+L346+L405+L439+L469+L470+L471+L492</f>
        <v>18979</v>
      </c>
      <c r="M512" s="7">
        <f>M54+M55+M56+M57+M69+M127+M168+M209+M261+M301+M302+M303+M346+M405+M439+M469+M470+M471+M492</f>
        <v>59126</v>
      </c>
      <c r="N512" s="7">
        <f t="shared" si="62"/>
        <v>7828546</v>
      </c>
      <c r="O512" s="7">
        <f>O54+O55+O56+O57+O127+O209+O261+O301+O302+O303+O346+O405+O470+O471+O492</f>
        <v>0</v>
      </c>
      <c r="P512" s="7">
        <f>P54+P55+P56+P57+P69+P127+P168+P209+P261+P301+P302+P303+P346+P405+P439+P469+P470+P471+P492</f>
        <v>7828546</v>
      </c>
      <c r="Q512" s="7">
        <f>Q54+Q55+Q56+Q57+Q127+Q209+Q261+Q301+Q302+Q303+Q346+Q405+Q470+Q471+Q492</f>
        <v>0</v>
      </c>
    </row>
    <row r="513" spans="1:17" s="168" customFormat="1" ht="14.25" customHeight="1">
      <c r="A513" s="571"/>
      <c r="B513" s="571"/>
      <c r="C513" s="571"/>
      <c r="D513" s="35"/>
      <c r="E513" s="35"/>
      <c r="F513" s="35"/>
      <c r="G513" s="35"/>
      <c r="H513" s="35"/>
      <c r="I513" s="35" t="s">
        <v>120</v>
      </c>
      <c r="J513" t="s">
        <v>176</v>
      </c>
      <c r="K513"/>
      <c r="L513"/>
      <c r="M513"/>
      <c r="N513"/>
      <c r="O513" s="35" t="s">
        <v>222</v>
      </c>
      <c r="P513" s="35"/>
      <c r="Q513" s="117"/>
    </row>
    <row r="514" spans="1:17" s="168" customFormat="1" ht="15.75" customHeight="1">
      <c r="A514" s="572"/>
      <c r="B514" s="572"/>
      <c r="C514" s="572"/>
      <c r="D514"/>
      <c r="E514"/>
      <c r="F514"/>
      <c r="G514"/>
      <c r="H514"/>
      <c r="I514" t="s">
        <v>702</v>
      </c>
      <c r="J514" s="35"/>
      <c r="K514" s="35"/>
      <c r="L514" s="35"/>
      <c r="M514" s="35"/>
      <c r="N514"/>
      <c r="O514"/>
      <c r="P514"/>
      <c r="Q514"/>
    </row>
    <row r="515" spans="1:17" s="168" customFormat="1" ht="12.75">
      <c r="A515"/>
      <c r="B515"/>
      <c r="C515"/>
      <c r="D515"/>
      <c r="E515" s="36"/>
      <c r="F515" s="36"/>
      <c r="G515" s="36"/>
      <c r="H515" s="36"/>
      <c r="I515" s="36"/>
      <c r="J515" s="35"/>
      <c r="K515" s="35"/>
      <c r="L515" s="35"/>
      <c r="M515" s="35"/>
      <c r="N515" s="36"/>
      <c r="O515"/>
      <c r="P515" s="552" t="s">
        <v>740</v>
      </c>
      <c r="Q515" s="552"/>
    </row>
    <row r="516" spans="1:17" s="168" customFormat="1" ht="12.75">
      <c r="A516"/>
      <c r="B516"/>
      <c r="C516"/>
      <c r="D516"/>
      <c r="E516"/>
      <c r="F516"/>
      <c r="G516"/>
      <c r="H516"/>
      <c r="I516"/>
      <c r="J516" s="35"/>
      <c r="K516" s="35"/>
      <c r="L516" s="35"/>
      <c r="M516" s="35"/>
      <c r="N516"/>
      <c r="O516"/>
      <c r="P516"/>
      <c r="Q516"/>
    </row>
    <row r="517" spans="1:17" s="168" customFormat="1" ht="12.75">
      <c r="A517"/>
      <c r="B517"/>
      <c r="C517"/>
      <c r="D517"/>
      <c r="E517"/>
      <c r="F517"/>
      <c r="G517"/>
      <c r="H517"/>
      <c r="I517"/>
      <c r="J517" s="35"/>
      <c r="K517" s="35"/>
      <c r="L517" s="35"/>
      <c r="M517" s="35"/>
      <c r="N517"/>
      <c r="O517"/>
      <c r="P517" s="552" t="s">
        <v>30</v>
      </c>
      <c r="Q517" s="552"/>
    </row>
    <row r="518" spans="1:17" s="168" customFormat="1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</row>
    <row r="519" spans="1:17" s="168" customFormat="1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</row>
    <row r="520" spans="1:17" s="168" customFormat="1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</row>
  </sheetData>
  <mergeCells count="36">
    <mergeCell ref="B512:D512"/>
    <mergeCell ref="B506:D506"/>
    <mergeCell ref="B507:D507"/>
    <mergeCell ref="B509:D509"/>
    <mergeCell ref="B508:D508"/>
    <mergeCell ref="B505:D505"/>
    <mergeCell ref="B510:D510"/>
    <mergeCell ref="B511:C511"/>
    <mergeCell ref="B31:B32"/>
    <mergeCell ref="N4:N7"/>
    <mergeCell ref="B504:C504"/>
    <mergeCell ref="I5:I7"/>
    <mergeCell ref="C4:C7"/>
    <mergeCell ref="K4:K7"/>
    <mergeCell ref="L4:L7"/>
    <mergeCell ref="M4:M7"/>
    <mergeCell ref="A513:C514"/>
    <mergeCell ref="B4:B7"/>
    <mergeCell ref="A4:A7"/>
    <mergeCell ref="J5:J7"/>
    <mergeCell ref="I4:J4"/>
    <mergeCell ref="H4:H7"/>
    <mergeCell ref="A13:A24"/>
    <mergeCell ref="A353:A356"/>
    <mergeCell ref="G5:G7"/>
    <mergeCell ref="B9:B10"/>
    <mergeCell ref="P515:Q515"/>
    <mergeCell ref="P517:Q517"/>
    <mergeCell ref="O1:Q1"/>
    <mergeCell ref="V2:Z2"/>
    <mergeCell ref="B2:Q2"/>
    <mergeCell ref="C3:Q3"/>
    <mergeCell ref="E5:E7"/>
    <mergeCell ref="D5:D7"/>
    <mergeCell ref="F5:F7"/>
    <mergeCell ref="O4:Q6"/>
  </mergeCells>
  <printOptions/>
  <pageMargins left="0.5905511811023623" right="0.5905511811023623" top="0.1968503937007874" bottom="0.5905511811023623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46"/>
  <sheetViews>
    <sheetView workbookViewId="0" topLeftCell="A1">
      <selection activeCell="H8" sqref="H8"/>
    </sheetView>
  </sheetViews>
  <sheetFormatPr defaultColWidth="9.00390625" defaultRowHeight="12.75"/>
  <cols>
    <col min="1" max="1" width="6.375" style="0" customWidth="1"/>
    <col min="2" max="2" width="10.00390625" style="0" customWidth="1"/>
    <col min="3" max="3" width="5.875" style="0" customWidth="1"/>
    <col min="4" max="4" width="30.00390625" style="0" customWidth="1"/>
    <col min="5" max="5" width="16.625" style="0" customWidth="1"/>
    <col min="6" max="6" width="10.75390625" style="0" customWidth="1"/>
    <col min="7" max="7" width="14.75390625" style="0" customWidth="1"/>
  </cols>
  <sheetData>
    <row r="1" spans="5:7" ht="40.5" customHeight="1">
      <c r="E1" s="553" t="s">
        <v>771</v>
      </c>
      <c r="F1" s="605"/>
      <c r="G1" s="605"/>
    </row>
    <row r="2" ht="3" customHeight="1" hidden="1"/>
    <row r="3" ht="12.75" hidden="1"/>
    <row r="4" ht="12.75" hidden="1"/>
    <row r="5" spans="1:7" ht="31.5" customHeight="1">
      <c r="A5" s="618" t="s">
        <v>142</v>
      </c>
      <c r="B5" s="618"/>
      <c r="C5" s="618"/>
      <c r="D5" s="618"/>
      <c r="E5" s="618"/>
      <c r="F5" s="618"/>
      <c r="G5" s="618"/>
    </row>
    <row r="6" ht="13.5" thickBot="1"/>
    <row r="7" spans="1:7" ht="13.5" thickBot="1">
      <c r="A7" s="613" t="s">
        <v>542</v>
      </c>
      <c r="B7" s="614"/>
      <c r="C7" s="615"/>
      <c r="D7" s="609" t="s">
        <v>543</v>
      </c>
      <c r="E7" s="616" t="s">
        <v>544</v>
      </c>
      <c r="F7" s="611" t="s">
        <v>545</v>
      </c>
      <c r="G7" s="607" t="s">
        <v>546</v>
      </c>
    </row>
    <row r="8" spans="1:7" ht="90.75" customHeight="1">
      <c r="A8" s="10" t="s">
        <v>547</v>
      </c>
      <c r="B8" s="10" t="s">
        <v>548</v>
      </c>
      <c r="C8" s="37" t="s">
        <v>206</v>
      </c>
      <c r="D8" s="610"/>
      <c r="E8" s="617"/>
      <c r="F8" s="612"/>
      <c r="G8" s="608"/>
    </row>
    <row r="9" spans="1:7" ht="12.75">
      <c r="A9" s="187">
        <v>1</v>
      </c>
      <c r="B9" s="80">
        <v>2</v>
      </c>
      <c r="C9" s="80">
        <v>3</v>
      </c>
      <c r="D9" s="69">
        <v>4</v>
      </c>
      <c r="E9" s="39">
        <v>5</v>
      </c>
      <c r="F9" s="39">
        <v>6</v>
      </c>
      <c r="G9" s="39">
        <v>7</v>
      </c>
    </row>
    <row r="10" spans="1:8" ht="17.25" customHeight="1">
      <c r="A10" s="188" t="s">
        <v>549</v>
      </c>
      <c r="B10" s="188"/>
      <c r="C10" s="188"/>
      <c r="D10" s="188" t="s">
        <v>550</v>
      </c>
      <c r="E10" s="180">
        <v>0</v>
      </c>
      <c r="F10" s="180">
        <v>0</v>
      </c>
      <c r="G10" s="180">
        <f>G11+G12</f>
        <v>138608</v>
      </c>
      <c r="H10" t="s">
        <v>135</v>
      </c>
    </row>
    <row r="11" spans="1:7" ht="12.75">
      <c r="A11" s="183" t="s">
        <v>215</v>
      </c>
      <c r="B11" s="183" t="s">
        <v>36</v>
      </c>
      <c r="C11" s="183" t="s">
        <v>37</v>
      </c>
      <c r="D11" s="184" t="s">
        <v>38</v>
      </c>
      <c r="E11" s="152">
        <v>0</v>
      </c>
      <c r="F11" s="152">
        <v>0</v>
      </c>
      <c r="G11" s="152">
        <v>608</v>
      </c>
    </row>
    <row r="12" spans="1:7" ht="25.5">
      <c r="A12" s="184">
        <v>700</v>
      </c>
      <c r="B12" s="184">
        <v>70005</v>
      </c>
      <c r="C12" s="184">
        <v>2350</v>
      </c>
      <c r="D12" s="185" t="s">
        <v>283</v>
      </c>
      <c r="E12" s="152">
        <v>0</v>
      </c>
      <c r="F12" s="152">
        <v>0</v>
      </c>
      <c r="G12" s="152">
        <v>138000</v>
      </c>
    </row>
    <row r="13" spans="1:7" ht="12.75">
      <c r="A13" s="188" t="s">
        <v>551</v>
      </c>
      <c r="B13" s="604" t="s">
        <v>552</v>
      </c>
      <c r="C13" s="604"/>
      <c r="D13" s="604"/>
      <c r="E13" s="604"/>
      <c r="F13" s="604"/>
      <c r="G13" s="188"/>
    </row>
    <row r="14" spans="1:7" ht="38.25">
      <c r="A14" s="181" t="s">
        <v>215</v>
      </c>
      <c r="B14" s="181" t="s">
        <v>261</v>
      </c>
      <c r="C14" s="181" t="s">
        <v>429</v>
      </c>
      <c r="D14" s="182" t="s">
        <v>554</v>
      </c>
      <c r="E14" s="154">
        <f>'Z1'!V13</f>
        <v>30000</v>
      </c>
      <c r="F14" s="154">
        <f>F15</f>
        <v>30000</v>
      </c>
      <c r="G14" s="152">
        <v>0</v>
      </c>
    </row>
    <row r="15" spans="1:7" ht="12.75">
      <c r="A15" s="24"/>
      <c r="B15" s="24"/>
      <c r="C15" s="24" t="s">
        <v>253</v>
      </c>
      <c r="D15" s="8" t="s">
        <v>370</v>
      </c>
      <c r="E15" s="7">
        <v>0</v>
      </c>
      <c r="F15" s="7">
        <f>'Z 2'!O28</f>
        <v>30000</v>
      </c>
      <c r="G15" s="20">
        <v>0</v>
      </c>
    </row>
    <row r="16" spans="1:7" ht="12.75" hidden="1">
      <c r="A16" s="13" t="s">
        <v>215</v>
      </c>
      <c r="B16" s="13" t="s">
        <v>218</v>
      </c>
      <c r="C16" s="13" t="s">
        <v>553</v>
      </c>
      <c r="D16" s="6" t="s">
        <v>564</v>
      </c>
      <c r="E16" s="6" t="e">
        <f>#REF!</f>
        <v>#REF!</v>
      </c>
      <c r="F16" s="6">
        <f>F17+F18+F19+F20+F22+F21+F23+F24+F25+F26+F27+F28</f>
        <v>0</v>
      </c>
      <c r="G16" s="15">
        <v>0</v>
      </c>
    </row>
    <row r="17" spans="1:7" ht="25.5" hidden="1">
      <c r="A17" s="24"/>
      <c r="B17" s="24"/>
      <c r="C17" s="24" t="s">
        <v>237</v>
      </c>
      <c r="D17" s="8" t="s">
        <v>238</v>
      </c>
      <c r="E17" s="7">
        <v>0</v>
      </c>
      <c r="F17" s="7">
        <v>0</v>
      </c>
      <c r="G17" s="20">
        <v>0</v>
      </c>
    </row>
    <row r="18" spans="1:7" ht="25.5" hidden="1">
      <c r="A18" s="24"/>
      <c r="B18" s="24"/>
      <c r="C18" s="24" t="s">
        <v>239</v>
      </c>
      <c r="D18" s="8" t="s">
        <v>240</v>
      </c>
      <c r="E18" s="7">
        <v>0</v>
      </c>
      <c r="F18" s="7">
        <v>0</v>
      </c>
      <c r="G18" s="20">
        <v>0</v>
      </c>
    </row>
    <row r="19" spans="1:7" ht="12.75" hidden="1">
      <c r="A19" s="24"/>
      <c r="B19" s="24"/>
      <c r="C19" s="24" t="s">
        <v>241</v>
      </c>
      <c r="D19" s="7" t="s">
        <v>565</v>
      </c>
      <c r="E19" s="7">
        <v>0</v>
      </c>
      <c r="F19" s="7">
        <v>0</v>
      </c>
      <c r="G19" s="20">
        <v>0</v>
      </c>
    </row>
    <row r="20" spans="1:7" ht="12.75" hidden="1">
      <c r="A20" s="24"/>
      <c r="B20" s="24"/>
      <c r="C20" s="50" t="s">
        <v>270</v>
      </c>
      <c r="D20" s="8" t="s">
        <v>566</v>
      </c>
      <c r="E20" s="7">
        <v>0</v>
      </c>
      <c r="F20" s="7">
        <v>0</v>
      </c>
      <c r="G20" s="20">
        <v>0</v>
      </c>
    </row>
    <row r="21" spans="1:7" ht="12.75" hidden="1">
      <c r="A21" s="24"/>
      <c r="B21" s="24"/>
      <c r="C21" s="50" t="s">
        <v>245</v>
      </c>
      <c r="D21" s="8" t="s">
        <v>246</v>
      </c>
      <c r="E21" s="7">
        <v>0</v>
      </c>
      <c r="F21" s="7">
        <v>0</v>
      </c>
      <c r="G21" s="20">
        <v>0</v>
      </c>
    </row>
    <row r="22" spans="1:7" ht="12.75" hidden="1">
      <c r="A22" s="24"/>
      <c r="B22" s="24"/>
      <c r="C22" s="29">
        <v>4210</v>
      </c>
      <c r="D22" s="24" t="s">
        <v>248</v>
      </c>
      <c r="E22" s="7">
        <v>0</v>
      </c>
      <c r="F22" s="7">
        <v>0</v>
      </c>
      <c r="G22" s="20">
        <v>0</v>
      </c>
    </row>
    <row r="23" spans="1:7" ht="12.75" hidden="1">
      <c r="A23" s="24"/>
      <c r="B23" s="24"/>
      <c r="C23" s="29">
        <v>4260</v>
      </c>
      <c r="D23" s="24" t="s">
        <v>368</v>
      </c>
      <c r="E23" s="7">
        <v>0</v>
      </c>
      <c r="F23" s="7">
        <v>0</v>
      </c>
      <c r="G23" s="20">
        <v>0</v>
      </c>
    </row>
    <row r="24" spans="1:7" ht="12.75" hidden="1">
      <c r="A24" s="24"/>
      <c r="B24" s="24"/>
      <c r="C24" s="29">
        <v>4270</v>
      </c>
      <c r="D24" s="24" t="s">
        <v>369</v>
      </c>
      <c r="E24" s="7">
        <v>0</v>
      </c>
      <c r="F24" s="7">
        <v>0</v>
      </c>
      <c r="G24" s="20">
        <v>0</v>
      </c>
    </row>
    <row r="25" spans="1:7" ht="12.75" hidden="1">
      <c r="A25" s="24"/>
      <c r="B25" s="24"/>
      <c r="C25" s="29">
        <v>4300</v>
      </c>
      <c r="D25" s="24" t="s">
        <v>370</v>
      </c>
      <c r="E25" s="7">
        <v>0</v>
      </c>
      <c r="F25" s="7">
        <v>0</v>
      </c>
      <c r="G25" s="20">
        <v>0</v>
      </c>
    </row>
    <row r="26" spans="1:7" ht="12.75" hidden="1">
      <c r="A26" s="24"/>
      <c r="B26" s="24"/>
      <c r="C26" s="29">
        <v>4410</v>
      </c>
      <c r="D26" s="24" t="s">
        <v>256</v>
      </c>
      <c r="E26" s="7">
        <v>0</v>
      </c>
      <c r="F26" s="7">
        <v>0</v>
      </c>
      <c r="G26" s="20">
        <v>0</v>
      </c>
    </row>
    <row r="27" spans="1:7" ht="12.75" hidden="1">
      <c r="A27" s="24"/>
      <c r="B27" s="24"/>
      <c r="C27" s="29">
        <v>4430</v>
      </c>
      <c r="D27" s="24" t="s">
        <v>258</v>
      </c>
      <c r="E27" s="7">
        <v>0</v>
      </c>
      <c r="F27" s="7">
        <v>0</v>
      </c>
      <c r="G27" s="20">
        <v>0</v>
      </c>
    </row>
    <row r="28" spans="1:7" ht="12.75" hidden="1">
      <c r="A28" s="24"/>
      <c r="B28" s="24"/>
      <c r="C28" s="29">
        <v>4440</v>
      </c>
      <c r="D28" s="24" t="s">
        <v>260</v>
      </c>
      <c r="E28" s="7">
        <v>0</v>
      </c>
      <c r="F28" s="7">
        <v>0</v>
      </c>
      <c r="G28" s="20">
        <v>0</v>
      </c>
    </row>
    <row r="29" spans="1:7" ht="15.75" customHeight="1" hidden="1">
      <c r="A29" s="13" t="s">
        <v>262</v>
      </c>
      <c r="B29" s="13" t="s">
        <v>264</v>
      </c>
      <c r="C29" s="13" t="s">
        <v>553</v>
      </c>
      <c r="D29" s="6" t="s">
        <v>265</v>
      </c>
      <c r="E29" s="6">
        <v>0</v>
      </c>
      <c r="F29" s="6">
        <f>F30</f>
        <v>0</v>
      </c>
      <c r="G29" s="15">
        <v>0</v>
      </c>
    </row>
    <row r="30" spans="1:7" ht="15" customHeight="1" hidden="1">
      <c r="A30" s="24"/>
      <c r="B30" s="24"/>
      <c r="C30" s="24"/>
      <c r="D30" s="7" t="s">
        <v>409</v>
      </c>
      <c r="E30" s="7"/>
      <c r="F30" s="7">
        <v>0</v>
      </c>
      <c r="G30" s="20">
        <v>0</v>
      </c>
    </row>
    <row r="31" spans="1:7" ht="25.5">
      <c r="A31" s="181" t="s">
        <v>280</v>
      </c>
      <c r="B31" s="181" t="s">
        <v>282</v>
      </c>
      <c r="C31" s="181" t="s">
        <v>429</v>
      </c>
      <c r="D31" s="182" t="s">
        <v>283</v>
      </c>
      <c r="E31" s="154">
        <f>'Z1'!V41</f>
        <v>62000</v>
      </c>
      <c r="F31" s="154">
        <f>F32+F33+F34+F35+F37+F38+F36</f>
        <v>62000</v>
      </c>
      <c r="G31" s="154">
        <v>0</v>
      </c>
    </row>
    <row r="32" spans="1:7" ht="12.75">
      <c r="A32" s="13"/>
      <c r="B32" s="13"/>
      <c r="C32" s="26" t="s">
        <v>92</v>
      </c>
      <c r="D32" s="25" t="s">
        <v>106</v>
      </c>
      <c r="E32" s="16">
        <v>0</v>
      </c>
      <c r="F32" s="16">
        <f>'Z 2'!O60</f>
        <v>800</v>
      </c>
      <c r="G32" s="6">
        <v>0</v>
      </c>
    </row>
    <row r="33" spans="1:7" ht="12.75">
      <c r="A33" s="26"/>
      <c r="B33" s="26"/>
      <c r="C33" s="26" t="s">
        <v>249</v>
      </c>
      <c r="D33" s="25" t="s">
        <v>368</v>
      </c>
      <c r="E33" s="16">
        <v>0</v>
      </c>
      <c r="F33" s="16">
        <f>'Z 2'!O61</f>
        <v>3930</v>
      </c>
      <c r="G33" s="16">
        <v>0</v>
      </c>
    </row>
    <row r="34" spans="1:7" ht="12.75">
      <c r="A34" s="13"/>
      <c r="B34" s="13"/>
      <c r="C34" s="26" t="s">
        <v>253</v>
      </c>
      <c r="D34" s="25" t="s">
        <v>370</v>
      </c>
      <c r="E34" s="16">
        <v>0</v>
      </c>
      <c r="F34" s="16">
        <f>'Z 2'!O63</f>
        <v>41402</v>
      </c>
      <c r="G34" s="17">
        <v>0</v>
      </c>
    </row>
    <row r="35" spans="1:7" ht="12.75">
      <c r="A35" s="13"/>
      <c r="B35" s="13"/>
      <c r="C35" s="26" t="s">
        <v>275</v>
      </c>
      <c r="D35" s="25" t="s">
        <v>276</v>
      </c>
      <c r="E35" s="16">
        <v>0</v>
      </c>
      <c r="F35" s="16">
        <f>'Z 2'!O65</f>
        <v>11728</v>
      </c>
      <c r="G35" s="17">
        <v>0</v>
      </c>
    </row>
    <row r="36" spans="1:7" ht="12.75">
      <c r="A36" s="13"/>
      <c r="B36" s="13"/>
      <c r="C36" s="26" t="s">
        <v>319</v>
      </c>
      <c r="D36" s="25" t="s">
        <v>354</v>
      </c>
      <c r="E36" s="16">
        <v>0</v>
      </c>
      <c r="F36" s="16">
        <f>'Z 2'!O66</f>
        <v>4140</v>
      </c>
      <c r="G36" s="17">
        <v>0</v>
      </c>
    </row>
    <row r="37" spans="1:7" ht="12.75" hidden="1">
      <c r="A37" s="13"/>
      <c r="B37" s="13"/>
      <c r="C37" s="26" t="s">
        <v>167</v>
      </c>
      <c r="D37" s="25" t="s">
        <v>715</v>
      </c>
      <c r="E37" s="16">
        <v>0</v>
      </c>
      <c r="F37" s="16">
        <v>0</v>
      </c>
      <c r="G37" s="17">
        <v>0</v>
      </c>
    </row>
    <row r="38" spans="1:7" ht="12.75" hidden="1">
      <c r="A38" s="13"/>
      <c r="B38" s="13"/>
      <c r="C38" s="26" t="s">
        <v>475</v>
      </c>
      <c r="D38" s="25" t="s">
        <v>168</v>
      </c>
      <c r="E38" s="16">
        <v>0</v>
      </c>
      <c r="F38" s="16">
        <v>0</v>
      </c>
      <c r="G38" s="17">
        <v>0</v>
      </c>
    </row>
    <row r="39" spans="1:7" ht="38.25">
      <c r="A39" s="181" t="s">
        <v>285</v>
      </c>
      <c r="B39" s="181" t="s">
        <v>287</v>
      </c>
      <c r="C39" s="181" t="s">
        <v>429</v>
      </c>
      <c r="D39" s="182" t="s">
        <v>294</v>
      </c>
      <c r="E39" s="154">
        <f>'Z1'!V44</f>
        <v>40000</v>
      </c>
      <c r="F39" s="154">
        <f>F40</f>
        <v>40000</v>
      </c>
      <c r="G39" s="152">
        <v>0</v>
      </c>
    </row>
    <row r="40" spans="1:7" ht="12.75">
      <c r="A40" s="13"/>
      <c r="B40" s="13"/>
      <c r="C40" s="26" t="s">
        <v>253</v>
      </c>
      <c r="D40" s="25" t="s">
        <v>370</v>
      </c>
      <c r="E40" s="16">
        <v>0</v>
      </c>
      <c r="F40" s="16">
        <f>'Z 2'!O72</f>
        <v>40000</v>
      </c>
      <c r="G40" s="15">
        <v>0</v>
      </c>
    </row>
    <row r="41" spans="1:7" ht="25.5">
      <c r="A41" s="181" t="s">
        <v>285</v>
      </c>
      <c r="B41" s="181" t="s">
        <v>295</v>
      </c>
      <c r="C41" s="181" t="s">
        <v>429</v>
      </c>
      <c r="D41" s="182" t="s">
        <v>296</v>
      </c>
      <c r="E41" s="154">
        <f>'Z1'!V45</f>
        <v>25000</v>
      </c>
      <c r="F41" s="154">
        <f>F42</f>
        <v>25000</v>
      </c>
      <c r="G41" s="152">
        <v>0</v>
      </c>
    </row>
    <row r="42" spans="1:7" ht="12.75">
      <c r="A42" s="26"/>
      <c r="B42" s="26"/>
      <c r="C42" s="26" t="s">
        <v>253</v>
      </c>
      <c r="D42" s="25" t="s">
        <v>370</v>
      </c>
      <c r="E42" s="16">
        <v>0</v>
      </c>
      <c r="F42" s="16">
        <f>'Z 2'!O74</f>
        <v>25000</v>
      </c>
      <c r="G42" s="17">
        <v>0</v>
      </c>
    </row>
    <row r="43" spans="1:7" ht="12.75">
      <c r="A43" s="181" t="s">
        <v>285</v>
      </c>
      <c r="B43" s="181" t="s">
        <v>297</v>
      </c>
      <c r="C43" s="181" t="s">
        <v>429</v>
      </c>
      <c r="D43" s="154" t="s">
        <v>298</v>
      </c>
      <c r="E43" s="154">
        <f>'Z1'!V49</f>
        <v>181547</v>
      </c>
      <c r="F43" s="154">
        <f>F44+F46+F47+F49+F48+F50+F51+F52+F53+F54+F45</f>
        <v>181547</v>
      </c>
      <c r="G43" s="152">
        <v>0</v>
      </c>
    </row>
    <row r="44" spans="1:7" ht="25.5">
      <c r="A44" s="24"/>
      <c r="B44" s="13"/>
      <c r="C44" s="26" t="s">
        <v>237</v>
      </c>
      <c r="D44" s="25" t="s">
        <v>238</v>
      </c>
      <c r="E44" s="16">
        <v>0</v>
      </c>
      <c r="F44" s="16">
        <f>'Z 2'!O76</f>
        <v>53840</v>
      </c>
      <c r="G44" s="17">
        <v>0</v>
      </c>
    </row>
    <row r="45" spans="1:7" ht="25.5">
      <c r="A45" s="24"/>
      <c r="B45" s="13"/>
      <c r="C45" s="26" t="s">
        <v>239</v>
      </c>
      <c r="D45" s="8" t="s">
        <v>240</v>
      </c>
      <c r="E45" s="16">
        <v>0</v>
      </c>
      <c r="F45" s="16">
        <f>'Z 2'!O77</f>
        <v>73560</v>
      </c>
      <c r="G45" s="17">
        <v>0</v>
      </c>
    </row>
    <row r="46" spans="1:7" ht="12.75">
      <c r="A46" s="24"/>
      <c r="B46" s="13"/>
      <c r="C46" s="26" t="s">
        <v>241</v>
      </c>
      <c r="D46" s="16" t="s">
        <v>565</v>
      </c>
      <c r="E46" s="16">
        <v>0</v>
      </c>
      <c r="F46" s="16">
        <f>'Z 2'!O78</f>
        <v>8864</v>
      </c>
      <c r="G46" s="17">
        <v>0</v>
      </c>
    </row>
    <row r="47" spans="1:7" ht="12.75">
      <c r="A47" s="24"/>
      <c r="B47" s="13"/>
      <c r="C47" s="115" t="s">
        <v>270</v>
      </c>
      <c r="D47" s="25" t="s">
        <v>313</v>
      </c>
      <c r="E47" s="16">
        <v>0</v>
      </c>
      <c r="F47" s="16">
        <f>'Z 2'!O79</f>
        <v>24786</v>
      </c>
      <c r="G47" s="17">
        <v>0</v>
      </c>
    </row>
    <row r="48" spans="1:7" ht="13.5" customHeight="1">
      <c r="A48" s="24"/>
      <c r="B48" s="13"/>
      <c r="C48" s="115" t="s">
        <v>245</v>
      </c>
      <c r="D48" s="25" t="s">
        <v>246</v>
      </c>
      <c r="E48" s="16">
        <v>0</v>
      </c>
      <c r="F48" s="16">
        <f>'Z 2'!O80</f>
        <v>3338</v>
      </c>
      <c r="G48" s="17">
        <v>0</v>
      </c>
    </row>
    <row r="49" spans="1:7" ht="15" customHeight="1">
      <c r="A49" s="24"/>
      <c r="B49" s="13"/>
      <c r="C49" s="26" t="s">
        <v>247</v>
      </c>
      <c r="D49" s="16" t="s">
        <v>248</v>
      </c>
      <c r="E49" s="16">
        <v>0</v>
      </c>
      <c r="F49" s="16">
        <f>'Z 2'!O81</f>
        <v>3000</v>
      </c>
      <c r="G49" s="17">
        <v>0</v>
      </c>
    </row>
    <row r="50" spans="1:7" ht="15" customHeight="1">
      <c r="A50" s="24"/>
      <c r="B50" s="13"/>
      <c r="C50" s="26" t="s">
        <v>249</v>
      </c>
      <c r="D50" s="25" t="s">
        <v>368</v>
      </c>
      <c r="E50" s="16">
        <v>0</v>
      </c>
      <c r="F50" s="16">
        <f>'Z 2'!O82</f>
        <v>2277</v>
      </c>
      <c r="G50" s="17">
        <v>0</v>
      </c>
    </row>
    <row r="51" spans="1:7" ht="15" customHeight="1">
      <c r="A51" s="24"/>
      <c r="B51" s="13"/>
      <c r="C51" s="26" t="s">
        <v>253</v>
      </c>
      <c r="D51" s="16" t="s">
        <v>370</v>
      </c>
      <c r="E51" s="16">
        <v>0</v>
      </c>
      <c r="F51" s="16">
        <f>'Z 2'!O83</f>
        <v>6125</v>
      </c>
      <c r="G51" s="17">
        <v>0</v>
      </c>
    </row>
    <row r="52" spans="1:7" ht="15" customHeight="1">
      <c r="A52" s="24"/>
      <c r="B52" s="13"/>
      <c r="C52" s="26" t="s">
        <v>255</v>
      </c>
      <c r="D52" s="16" t="s">
        <v>256</v>
      </c>
      <c r="E52" s="16">
        <v>0</v>
      </c>
      <c r="F52" s="16">
        <f>'Z 2'!O84</f>
        <v>500</v>
      </c>
      <c r="G52" s="17">
        <v>0</v>
      </c>
    </row>
    <row r="53" spans="1:7" ht="15" customHeight="1">
      <c r="A53" s="24"/>
      <c r="B53" s="13"/>
      <c r="C53" s="26" t="s">
        <v>257</v>
      </c>
      <c r="D53" s="16" t="s">
        <v>430</v>
      </c>
      <c r="E53" s="16">
        <v>0</v>
      </c>
      <c r="F53" s="16">
        <f>'Z 2'!O85</f>
        <v>2200</v>
      </c>
      <c r="G53" s="17">
        <v>0</v>
      </c>
    </row>
    <row r="54" spans="1:7" ht="15" customHeight="1">
      <c r="A54" s="24"/>
      <c r="B54" s="13"/>
      <c r="C54" s="26" t="s">
        <v>259</v>
      </c>
      <c r="D54" s="16" t="s">
        <v>260</v>
      </c>
      <c r="E54" s="16">
        <v>0</v>
      </c>
      <c r="F54" s="16">
        <f>'Z 2'!O86</f>
        <v>3057</v>
      </c>
      <c r="G54" s="17">
        <v>0</v>
      </c>
    </row>
    <row r="55" spans="1:7" ht="12.75">
      <c r="A55" s="181" t="s">
        <v>300</v>
      </c>
      <c r="B55" s="181" t="s">
        <v>302</v>
      </c>
      <c r="C55" s="181" t="s">
        <v>429</v>
      </c>
      <c r="D55" s="154" t="s">
        <v>303</v>
      </c>
      <c r="E55" s="154">
        <f>'Z1'!V51</f>
        <v>102748</v>
      </c>
      <c r="F55" s="154">
        <f>F56+F57+F58+F59+F60+F61+F62+F63+F64</f>
        <v>102748</v>
      </c>
      <c r="G55" s="152">
        <v>0</v>
      </c>
    </row>
    <row r="56" spans="1:7" ht="25.5">
      <c r="A56" s="24"/>
      <c r="B56" s="13"/>
      <c r="C56" s="26" t="s">
        <v>237</v>
      </c>
      <c r="D56" s="25" t="s">
        <v>238</v>
      </c>
      <c r="E56" s="16">
        <v>0</v>
      </c>
      <c r="F56" s="16">
        <f>'Z 2'!O89</f>
        <v>70400</v>
      </c>
      <c r="G56" s="17">
        <v>0</v>
      </c>
    </row>
    <row r="57" spans="1:7" ht="12.75">
      <c r="A57" s="24"/>
      <c r="B57" s="13"/>
      <c r="C57" s="26" t="s">
        <v>241</v>
      </c>
      <c r="D57" s="16" t="s">
        <v>565</v>
      </c>
      <c r="E57" s="16">
        <v>0</v>
      </c>
      <c r="F57" s="16">
        <f>'Z 2'!O90</f>
        <v>4712</v>
      </c>
      <c r="G57" s="17">
        <v>0</v>
      </c>
    </row>
    <row r="58" spans="1:7" ht="12.75">
      <c r="A58" s="24"/>
      <c r="B58" s="13"/>
      <c r="C58" s="115" t="s">
        <v>270</v>
      </c>
      <c r="D58" s="25" t="s">
        <v>313</v>
      </c>
      <c r="E58" s="16">
        <v>0</v>
      </c>
      <c r="F58" s="16">
        <f>'Z 2'!O91</f>
        <v>12942</v>
      </c>
      <c r="G58" s="17">
        <v>0</v>
      </c>
    </row>
    <row r="59" spans="1:7" ht="12.75">
      <c r="A59" s="24"/>
      <c r="B59" s="13"/>
      <c r="C59" s="115" t="s">
        <v>245</v>
      </c>
      <c r="D59" s="25" t="s">
        <v>246</v>
      </c>
      <c r="E59" s="16">
        <v>0</v>
      </c>
      <c r="F59" s="16">
        <f>'Z 2'!O92</f>
        <v>1840</v>
      </c>
      <c r="G59" s="17">
        <v>0</v>
      </c>
    </row>
    <row r="60" spans="1:7" ht="12.75">
      <c r="A60" s="24"/>
      <c r="B60" s="13"/>
      <c r="C60" s="115" t="s">
        <v>92</v>
      </c>
      <c r="D60" s="25" t="s">
        <v>106</v>
      </c>
      <c r="E60" s="16">
        <v>0</v>
      </c>
      <c r="F60" s="16">
        <f>'Z 2'!O93</f>
        <v>7160</v>
      </c>
      <c r="G60" s="17">
        <v>0</v>
      </c>
    </row>
    <row r="61" spans="1:7" ht="12.75">
      <c r="A61" s="24"/>
      <c r="B61" s="13"/>
      <c r="C61" s="26" t="s">
        <v>247</v>
      </c>
      <c r="D61" s="16" t="s">
        <v>248</v>
      </c>
      <c r="E61" s="16">
        <v>0</v>
      </c>
      <c r="F61" s="16">
        <f>'Z 2'!O94</f>
        <v>1060</v>
      </c>
      <c r="G61" s="17">
        <v>0</v>
      </c>
    </row>
    <row r="62" spans="1:7" ht="12.75">
      <c r="A62" s="24"/>
      <c r="B62" s="13"/>
      <c r="C62" s="26" t="s">
        <v>253</v>
      </c>
      <c r="D62" s="16" t="s">
        <v>370</v>
      </c>
      <c r="E62" s="16">
        <v>0</v>
      </c>
      <c r="F62" s="16">
        <f>'Z 2'!O95</f>
        <v>1400</v>
      </c>
      <c r="G62" s="17">
        <v>0</v>
      </c>
    </row>
    <row r="63" spans="1:7" ht="12.75">
      <c r="A63" s="24"/>
      <c r="B63" s="13"/>
      <c r="C63" s="26" t="s">
        <v>255</v>
      </c>
      <c r="D63" s="16" t="s">
        <v>256</v>
      </c>
      <c r="E63" s="16">
        <v>0</v>
      </c>
      <c r="F63" s="16">
        <f>'Z 2'!O96</f>
        <v>600</v>
      </c>
      <c r="G63" s="17">
        <v>0</v>
      </c>
    </row>
    <row r="64" spans="1:7" ht="12.75">
      <c r="A64" s="24"/>
      <c r="B64" s="13"/>
      <c r="C64" s="26" t="s">
        <v>259</v>
      </c>
      <c r="D64" s="16" t="s">
        <v>260</v>
      </c>
      <c r="E64" s="16">
        <v>0</v>
      </c>
      <c r="F64" s="16">
        <f>'Z 2'!O97</f>
        <v>2634</v>
      </c>
      <c r="G64" s="17">
        <v>0</v>
      </c>
    </row>
    <row r="65" spans="1:7" ht="15.75" customHeight="1">
      <c r="A65" s="181" t="s">
        <v>300</v>
      </c>
      <c r="B65" s="181" t="s">
        <v>311</v>
      </c>
      <c r="C65" s="181" t="s">
        <v>429</v>
      </c>
      <c r="D65" s="154" t="s">
        <v>312</v>
      </c>
      <c r="E65" s="154">
        <f>'Z1'!V59</f>
        <v>13000</v>
      </c>
      <c r="F65" s="154">
        <f>F66+F67+F68+F69+F70+F71+F72</f>
        <v>13000</v>
      </c>
      <c r="G65" s="152">
        <v>0</v>
      </c>
    </row>
    <row r="66" spans="1:7" ht="15.75" customHeight="1">
      <c r="A66" s="13"/>
      <c r="B66" s="13"/>
      <c r="C66" s="26" t="s">
        <v>235</v>
      </c>
      <c r="D66" s="16" t="s">
        <v>567</v>
      </c>
      <c r="E66" s="16">
        <v>0</v>
      </c>
      <c r="F66" s="16">
        <f>'Z 2'!O129</f>
        <v>5330</v>
      </c>
      <c r="G66" s="17">
        <v>0</v>
      </c>
    </row>
    <row r="67" spans="1:7" ht="15.75" customHeight="1">
      <c r="A67" s="13"/>
      <c r="B67" s="13"/>
      <c r="C67" s="26" t="s">
        <v>270</v>
      </c>
      <c r="D67" s="16" t="s">
        <v>313</v>
      </c>
      <c r="E67" s="16">
        <v>0</v>
      </c>
      <c r="F67" s="16">
        <f>'Z 2'!O130</f>
        <v>775</v>
      </c>
      <c r="G67" s="17">
        <v>0</v>
      </c>
    </row>
    <row r="68" spans="1:7" ht="15.75" customHeight="1">
      <c r="A68" s="13"/>
      <c r="B68" s="13"/>
      <c r="C68" s="26" t="s">
        <v>245</v>
      </c>
      <c r="D68" s="16" t="s">
        <v>246</v>
      </c>
      <c r="E68" s="16">
        <v>0</v>
      </c>
      <c r="F68" s="16">
        <f>'Z 2'!O131</f>
        <v>110</v>
      </c>
      <c r="G68" s="17">
        <v>0</v>
      </c>
    </row>
    <row r="69" spans="1:7" ht="15.75" customHeight="1">
      <c r="A69" s="13"/>
      <c r="B69" s="13"/>
      <c r="C69" s="26" t="s">
        <v>92</v>
      </c>
      <c r="D69" s="16" t="s">
        <v>106</v>
      </c>
      <c r="E69" s="16">
        <v>0</v>
      </c>
      <c r="F69" s="16">
        <f>'Z 2'!O132</f>
        <v>5400</v>
      </c>
      <c r="G69" s="17">
        <v>0</v>
      </c>
    </row>
    <row r="70" spans="1:7" ht="15.75" customHeight="1">
      <c r="A70" s="13"/>
      <c r="B70" s="13"/>
      <c r="C70" s="26" t="s">
        <v>247</v>
      </c>
      <c r="D70" s="16" t="s">
        <v>248</v>
      </c>
      <c r="E70" s="16">
        <v>0</v>
      </c>
      <c r="F70" s="16">
        <f>'Z 2'!O133</f>
        <v>687</v>
      </c>
      <c r="G70" s="17">
        <v>0</v>
      </c>
    </row>
    <row r="71" spans="1:7" ht="15.75" customHeight="1">
      <c r="A71" s="13"/>
      <c r="B71" s="13"/>
      <c r="C71" s="26" t="s">
        <v>253</v>
      </c>
      <c r="D71" s="16" t="s">
        <v>370</v>
      </c>
      <c r="E71" s="16">
        <v>0</v>
      </c>
      <c r="F71" s="16">
        <f>'Z 2'!O134</f>
        <v>450</v>
      </c>
      <c r="G71" s="17">
        <v>0</v>
      </c>
    </row>
    <row r="72" spans="1:7" ht="15.75" customHeight="1">
      <c r="A72" s="13"/>
      <c r="B72" s="13"/>
      <c r="C72" s="26" t="s">
        <v>255</v>
      </c>
      <c r="D72" s="16" t="s">
        <v>256</v>
      </c>
      <c r="E72" s="16">
        <v>0</v>
      </c>
      <c r="F72" s="16">
        <f>'Z 2'!O135</f>
        <v>248</v>
      </c>
      <c r="G72" s="17">
        <v>0</v>
      </c>
    </row>
    <row r="73" spans="1:7" ht="12.75" hidden="1">
      <c r="A73" s="13" t="s">
        <v>316</v>
      </c>
      <c r="B73" s="13" t="s">
        <v>318</v>
      </c>
      <c r="C73" s="13" t="s">
        <v>553</v>
      </c>
      <c r="D73" s="6" t="s">
        <v>355</v>
      </c>
      <c r="E73" s="6">
        <v>0</v>
      </c>
      <c r="F73" s="6">
        <f>F76+F78+F79+F80+F81+F83+F84+F85+F77+F86+F87+F88+F89+F90+F91+F92+F93+F74+F75+F82</f>
        <v>0</v>
      </c>
      <c r="G73" s="15">
        <v>0</v>
      </c>
    </row>
    <row r="74" spans="1:7" ht="12.75" hidden="1">
      <c r="A74" s="13"/>
      <c r="B74" s="13"/>
      <c r="C74" s="26" t="s">
        <v>220</v>
      </c>
      <c r="D74" s="16" t="s">
        <v>568</v>
      </c>
      <c r="E74" s="16">
        <v>0</v>
      </c>
      <c r="F74" s="16">
        <v>0</v>
      </c>
      <c r="G74" s="17">
        <v>0</v>
      </c>
    </row>
    <row r="75" spans="1:7" ht="12.75" hidden="1">
      <c r="A75" s="13"/>
      <c r="B75" s="13"/>
      <c r="C75" s="26" t="s">
        <v>235</v>
      </c>
      <c r="D75" s="16" t="s">
        <v>567</v>
      </c>
      <c r="E75" s="16">
        <v>0</v>
      </c>
      <c r="F75" s="16">
        <v>0</v>
      </c>
      <c r="G75" s="17">
        <v>0</v>
      </c>
    </row>
    <row r="76" spans="1:7" ht="25.5" hidden="1">
      <c r="A76" s="24"/>
      <c r="B76" s="24"/>
      <c r="C76" s="24" t="s">
        <v>237</v>
      </c>
      <c r="D76" s="8" t="s">
        <v>238</v>
      </c>
      <c r="E76" s="7">
        <v>0</v>
      </c>
      <c r="F76" s="7">
        <v>0</v>
      </c>
      <c r="G76" s="20">
        <v>0</v>
      </c>
    </row>
    <row r="77" spans="1:7" ht="25.5" hidden="1">
      <c r="A77" s="24"/>
      <c r="B77" s="24"/>
      <c r="C77" s="24" t="s">
        <v>239</v>
      </c>
      <c r="D77" s="8" t="s">
        <v>356</v>
      </c>
      <c r="E77" s="7">
        <v>0</v>
      </c>
      <c r="F77" s="7">
        <v>0</v>
      </c>
      <c r="G77" s="20">
        <v>0</v>
      </c>
    </row>
    <row r="78" spans="1:7" ht="12.75" hidden="1">
      <c r="A78" s="24"/>
      <c r="B78" s="24"/>
      <c r="C78" s="24" t="s">
        <v>241</v>
      </c>
      <c r="D78" s="8" t="s">
        <v>569</v>
      </c>
      <c r="E78" s="7">
        <v>0</v>
      </c>
      <c r="F78" s="7">
        <v>0</v>
      </c>
      <c r="G78" s="20">
        <v>0</v>
      </c>
    </row>
    <row r="79" spans="1:7" ht="25.5" hidden="1">
      <c r="A79" s="24"/>
      <c r="B79" s="24"/>
      <c r="C79" s="24" t="s">
        <v>357</v>
      </c>
      <c r="D79" s="8" t="s">
        <v>570</v>
      </c>
      <c r="E79" s="7">
        <v>0</v>
      </c>
      <c r="F79" s="7">
        <v>0</v>
      </c>
      <c r="G79" s="20">
        <v>0</v>
      </c>
    </row>
    <row r="80" spans="1:7" ht="12.75" hidden="1">
      <c r="A80" s="24"/>
      <c r="B80" s="24"/>
      <c r="C80" s="24" t="s">
        <v>359</v>
      </c>
      <c r="D80" s="7" t="s">
        <v>571</v>
      </c>
      <c r="E80" s="7">
        <v>0</v>
      </c>
      <c r="F80" s="7">
        <v>0</v>
      </c>
      <c r="G80" s="20">
        <v>0</v>
      </c>
    </row>
    <row r="81" spans="1:7" ht="12.75" hidden="1">
      <c r="A81" s="24"/>
      <c r="B81" s="24"/>
      <c r="C81" s="24" t="s">
        <v>361</v>
      </c>
      <c r="D81" s="7" t="s">
        <v>362</v>
      </c>
      <c r="E81" s="7">
        <v>0</v>
      </c>
      <c r="F81" s="7">
        <v>0</v>
      </c>
      <c r="G81" s="20">
        <v>0</v>
      </c>
    </row>
    <row r="82" spans="1:7" ht="38.25" hidden="1">
      <c r="A82" s="24"/>
      <c r="B82" s="24"/>
      <c r="C82" s="24" t="s">
        <v>363</v>
      </c>
      <c r="D82" s="8" t="s">
        <v>576</v>
      </c>
      <c r="E82" s="7">
        <v>0</v>
      </c>
      <c r="F82" s="7">
        <v>0</v>
      </c>
      <c r="G82" s="20"/>
    </row>
    <row r="83" spans="1:7" ht="12.75" hidden="1">
      <c r="A83" s="24"/>
      <c r="B83" s="24"/>
      <c r="C83" s="24" t="s">
        <v>270</v>
      </c>
      <c r="D83" s="8" t="s">
        <v>572</v>
      </c>
      <c r="E83" s="7">
        <v>0</v>
      </c>
      <c r="F83" s="7">
        <v>0</v>
      </c>
      <c r="G83" s="20">
        <v>0</v>
      </c>
    </row>
    <row r="84" spans="1:7" ht="18" customHeight="1" hidden="1">
      <c r="A84" s="24"/>
      <c r="B84" s="24"/>
      <c r="C84" s="50" t="s">
        <v>245</v>
      </c>
      <c r="D84" s="8" t="s">
        <v>246</v>
      </c>
      <c r="E84" s="7">
        <v>0</v>
      </c>
      <c r="F84" s="7">
        <v>0</v>
      </c>
      <c r="G84" s="20">
        <v>0</v>
      </c>
    </row>
    <row r="85" spans="1:7" ht="12.75" hidden="1">
      <c r="A85" s="24"/>
      <c r="B85" s="24"/>
      <c r="C85" s="24" t="s">
        <v>247</v>
      </c>
      <c r="D85" s="7" t="s">
        <v>248</v>
      </c>
      <c r="E85" s="7">
        <v>0</v>
      </c>
      <c r="F85" s="7">
        <v>0</v>
      </c>
      <c r="G85" s="20">
        <v>0</v>
      </c>
    </row>
    <row r="86" spans="1:7" ht="12.75" hidden="1">
      <c r="A86" s="24"/>
      <c r="B86" s="24"/>
      <c r="C86" s="24" t="s">
        <v>364</v>
      </c>
      <c r="D86" s="7" t="s">
        <v>573</v>
      </c>
      <c r="E86" s="7">
        <v>0</v>
      </c>
      <c r="F86" s="7">
        <v>0</v>
      </c>
      <c r="G86" s="20">
        <v>0</v>
      </c>
    </row>
    <row r="87" spans="1:7" ht="12.75" hidden="1">
      <c r="A87" s="24"/>
      <c r="B87" s="24"/>
      <c r="C87" s="24" t="s">
        <v>366</v>
      </c>
      <c r="D87" s="7" t="s">
        <v>367</v>
      </c>
      <c r="E87" s="7">
        <v>0</v>
      </c>
      <c r="F87" s="7">
        <v>0</v>
      </c>
      <c r="G87" s="20">
        <v>0</v>
      </c>
    </row>
    <row r="88" spans="1:7" ht="12.75" hidden="1">
      <c r="A88" s="24"/>
      <c r="B88" s="24"/>
      <c r="C88" s="24" t="s">
        <v>249</v>
      </c>
      <c r="D88" s="7" t="s">
        <v>368</v>
      </c>
      <c r="E88" s="7">
        <v>0</v>
      </c>
      <c r="F88" s="7">
        <v>0</v>
      </c>
      <c r="G88" s="20">
        <v>0</v>
      </c>
    </row>
    <row r="89" spans="1:7" ht="12.75" hidden="1">
      <c r="A89" s="24"/>
      <c r="B89" s="24"/>
      <c r="C89" s="24" t="s">
        <v>251</v>
      </c>
      <c r="D89" s="7" t="s">
        <v>369</v>
      </c>
      <c r="E89" s="7">
        <v>0</v>
      </c>
      <c r="F89" s="7">
        <v>0</v>
      </c>
      <c r="G89" s="20">
        <v>0</v>
      </c>
    </row>
    <row r="90" spans="1:7" ht="12.75" hidden="1">
      <c r="A90" s="24"/>
      <c r="B90" s="24"/>
      <c r="C90" s="24" t="s">
        <v>253</v>
      </c>
      <c r="D90" s="7" t="s">
        <v>370</v>
      </c>
      <c r="E90" s="7">
        <v>0</v>
      </c>
      <c r="F90" s="7">
        <v>0</v>
      </c>
      <c r="G90" s="20">
        <v>0</v>
      </c>
    </row>
    <row r="91" spans="1:7" ht="12.75" hidden="1">
      <c r="A91" s="24"/>
      <c r="B91" s="24"/>
      <c r="C91" s="24" t="s">
        <v>255</v>
      </c>
      <c r="D91" s="7" t="s">
        <v>256</v>
      </c>
      <c r="E91" s="7">
        <v>0</v>
      </c>
      <c r="F91" s="7">
        <v>0</v>
      </c>
      <c r="G91" s="20">
        <v>0</v>
      </c>
    </row>
    <row r="92" spans="1:7" ht="12.75" hidden="1">
      <c r="A92" s="24"/>
      <c r="B92" s="24"/>
      <c r="C92" s="24" t="s">
        <v>259</v>
      </c>
      <c r="D92" s="7" t="s">
        <v>260</v>
      </c>
      <c r="E92" s="7">
        <v>0</v>
      </c>
      <c r="F92" s="7">
        <v>0</v>
      </c>
      <c r="G92" s="20">
        <v>0</v>
      </c>
    </row>
    <row r="93" spans="1:7" ht="12.75" hidden="1">
      <c r="A93" s="24"/>
      <c r="B93" s="24"/>
      <c r="C93" s="24" t="s">
        <v>275</v>
      </c>
      <c r="D93" s="7" t="s">
        <v>276</v>
      </c>
      <c r="E93" s="7">
        <v>0</v>
      </c>
      <c r="F93" s="7">
        <v>0</v>
      </c>
      <c r="G93" s="20">
        <v>0</v>
      </c>
    </row>
    <row r="94" spans="1:7" ht="24.75" customHeight="1">
      <c r="A94" s="181" t="s">
        <v>316</v>
      </c>
      <c r="B94" s="181" t="s">
        <v>371</v>
      </c>
      <c r="C94" s="181" t="s">
        <v>429</v>
      </c>
      <c r="D94" s="182" t="s">
        <v>574</v>
      </c>
      <c r="E94" s="154">
        <f>'Z1'!V65</f>
        <v>2201000</v>
      </c>
      <c r="F94" s="154">
        <f>F95+F96+F97+F98+F99+F100+F101+F102+F103+F104+F105+F106+F107+F108+F109+F110+F111+F112+F113+F114</f>
        <v>2201000</v>
      </c>
      <c r="G94" s="152">
        <v>0</v>
      </c>
    </row>
    <row r="95" spans="1:7" ht="24.75" customHeight="1">
      <c r="A95" s="284"/>
      <c r="B95" s="284"/>
      <c r="C95" s="286" t="s">
        <v>654</v>
      </c>
      <c r="D95" s="273" t="s">
        <v>687</v>
      </c>
      <c r="E95" s="285">
        <v>0</v>
      </c>
      <c r="F95" s="173">
        <f>'Z 2'!O148</f>
        <v>149000</v>
      </c>
      <c r="G95" s="287"/>
    </row>
    <row r="96" spans="1:7" ht="24.75" customHeight="1">
      <c r="A96" s="13"/>
      <c r="B96" s="26"/>
      <c r="C96" s="26" t="s">
        <v>239</v>
      </c>
      <c r="D96" s="25" t="s">
        <v>575</v>
      </c>
      <c r="E96" s="16">
        <v>0</v>
      </c>
      <c r="F96" s="173">
        <f>'Z 2'!O149</f>
        <v>19943</v>
      </c>
      <c r="G96" s="17">
        <v>0</v>
      </c>
    </row>
    <row r="97" spans="1:7" ht="18" customHeight="1">
      <c r="A97" s="13"/>
      <c r="B97" s="26"/>
      <c r="C97" s="26" t="s">
        <v>241</v>
      </c>
      <c r="D97" s="25" t="s">
        <v>569</v>
      </c>
      <c r="E97" s="16">
        <v>0</v>
      </c>
      <c r="F97" s="173">
        <f>'Z 2'!O150</f>
        <v>1557</v>
      </c>
      <c r="G97" s="17">
        <v>0</v>
      </c>
    </row>
    <row r="98" spans="1:7" ht="24" customHeight="1">
      <c r="A98" s="13"/>
      <c r="B98" s="26"/>
      <c r="C98" s="26" t="s">
        <v>357</v>
      </c>
      <c r="D98" s="8" t="s">
        <v>570</v>
      </c>
      <c r="E98" s="16">
        <v>0</v>
      </c>
      <c r="F98" s="173">
        <f>'Z 2'!O151</f>
        <v>1328850</v>
      </c>
      <c r="G98" s="17">
        <v>0</v>
      </c>
    </row>
    <row r="99" spans="1:7" ht="17.25" customHeight="1">
      <c r="A99" s="13"/>
      <c r="B99" s="26"/>
      <c r="C99" s="26" t="s">
        <v>359</v>
      </c>
      <c r="D99" s="7" t="s">
        <v>571</v>
      </c>
      <c r="E99" s="16">
        <v>0</v>
      </c>
      <c r="F99" s="173">
        <f>'Z 2'!O152</f>
        <v>179000</v>
      </c>
      <c r="G99" s="17">
        <v>0</v>
      </c>
    </row>
    <row r="100" spans="1:7" ht="14.25" customHeight="1">
      <c r="A100" s="13"/>
      <c r="B100" s="26"/>
      <c r="C100" s="24" t="s">
        <v>361</v>
      </c>
      <c r="D100" s="7" t="s">
        <v>362</v>
      </c>
      <c r="E100" s="16">
        <v>0</v>
      </c>
      <c r="F100" s="173">
        <f>'Z 2'!O153</f>
        <v>127000</v>
      </c>
      <c r="G100" s="17">
        <v>0</v>
      </c>
    </row>
    <row r="101" spans="1:7" ht="17.25" customHeight="1">
      <c r="A101" s="13"/>
      <c r="B101" s="26"/>
      <c r="C101" s="50" t="s">
        <v>270</v>
      </c>
      <c r="D101" s="8" t="s">
        <v>572</v>
      </c>
      <c r="E101" s="16">
        <v>0</v>
      </c>
      <c r="F101" s="173">
        <f>'Z 2'!O154</f>
        <v>12261</v>
      </c>
      <c r="G101" s="17">
        <v>0</v>
      </c>
    </row>
    <row r="102" spans="1:7" ht="15" customHeight="1">
      <c r="A102" s="13"/>
      <c r="B102" s="26"/>
      <c r="C102" s="50" t="s">
        <v>245</v>
      </c>
      <c r="D102" s="8" t="s">
        <v>246</v>
      </c>
      <c r="E102" s="16">
        <v>0</v>
      </c>
      <c r="F102" s="173">
        <f>'Z 2'!O155</f>
        <v>677</v>
      </c>
      <c r="G102" s="17">
        <v>0</v>
      </c>
    </row>
    <row r="103" spans="1:7" ht="20.25" customHeight="1">
      <c r="A103" s="13"/>
      <c r="B103" s="13"/>
      <c r="C103" s="24" t="s">
        <v>656</v>
      </c>
      <c r="D103" s="8" t="s">
        <v>143</v>
      </c>
      <c r="E103" s="16">
        <v>0</v>
      </c>
      <c r="F103" s="173">
        <f>'Z 2'!O156</f>
        <v>96000</v>
      </c>
      <c r="G103" s="45">
        <v>0</v>
      </c>
    </row>
    <row r="104" spans="1:7" ht="18.75" customHeight="1">
      <c r="A104" s="13"/>
      <c r="B104" s="13"/>
      <c r="C104" s="26" t="s">
        <v>247</v>
      </c>
      <c r="D104" s="16" t="s">
        <v>248</v>
      </c>
      <c r="E104" s="16">
        <v>0</v>
      </c>
      <c r="F104" s="173">
        <f>'Z 2'!O157</f>
        <v>150532</v>
      </c>
      <c r="G104" s="45">
        <v>0</v>
      </c>
    </row>
    <row r="105" spans="1:7" ht="21.75" customHeight="1">
      <c r="A105" s="13"/>
      <c r="B105" s="13"/>
      <c r="C105" s="26" t="s">
        <v>366</v>
      </c>
      <c r="D105" s="16" t="s">
        <v>367</v>
      </c>
      <c r="E105" s="16">
        <v>0</v>
      </c>
      <c r="F105" s="173">
        <f>'Z 2'!O158</f>
        <v>20000</v>
      </c>
      <c r="G105" s="45">
        <v>0</v>
      </c>
    </row>
    <row r="106" spans="1:7" ht="21.75" customHeight="1">
      <c r="A106" s="13"/>
      <c r="B106" s="13"/>
      <c r="C106" s="26" t="s">
        <v>249</v>
      </c>
      <c r="D106" s="16" t="s">
        <v>368</v>
      </c>
      <c r="E106" s="16">
        <v>0</v>
      </c>
      <c r="F106" s="173">
        <f>'Z 2'!O159</f>
        <v>18000</v>
      </c>
      <c r="G106" s="45">
        <v>0</v>
      </c>
    </row>
    <row r="107" spans="1:7" ht="21.75" customHeight="1">
      <c r="A107" s="13"/>
      <c r="B107" s="13"/>
      <c r="C107" s="26" t="s">
        <v>251</v>
      </c>
      <c r="D107" s="16" t="s">
        <v>369</v>
      </c>
      <c r="E107" s="16">
        <v>0</v>
      </c>
      <c r="F107" s="173">
        <f>'Z 2'!O160</f>
        <v>12000</v>
      </c>
      <c r="G107" s="45">
        <v>0</v>
      </c>
    </row>
    <row r="108" spans="1:7" ht="21.75" customHeight="1">
      <c r="A108" s="13"/>
      <c r="B108" s="13"/>
      <c r="C108" s="26" t="s">
        <v>320</v>
      </c>
      <c r="D108" s="16" t="s">
        <v>321</v>
      </c>
      <c r="E108" s="16">
        <v>0</v>
      </c>
      <c r="F108" s="173">
        <f>'Z 2'!O161</f>
        <v>14520</v>
      </c>
      <c r="G108" s="45">
        <v>0</v>
      </c>
    </row>
    <row r="109" spans="1:7" ht="21.75" customHeight="1">
      <c r="A109" s="13"/>
      <c r="B109" s="13"/>
      <c r="C109" s="26" t="s">
        <v>253</v>
      </c>
      <c r="D109" s="16" t="s">
        <v>370</v>
      </c>
      <c r="E109" s="16">
        <v>0</v>
      </c>
      <c r="F109" s="173">
        <f>'Z 2'!O162</f>
        <v>45000</v>
      </c>
      <c r="G109" s="45">
        <v>0</v>
      </c>
    </row>
    <row r="110" spans="1:7" ht="21.75" customHeight="1">
      <c r="A110" s="13"/>
      <c r="B110" s="13"/>
      <c r="C110" s="26" t="s">
        <v>255</v>
      </c>
      <c r="D110" s="16" t="s">
        <v>256</v>
      </c>
      <c r="E110" s="16">
        <v>0</v>
      </c>
      <c r="F110" s="173">
        <f>'Z 2'!O163</f>
        <v>7000</v>
      </c>
      <c r="G110" s="45">
        <v>0</v>
      </c>
    </row>
    <row r="111" spans="1:7" ht="17.25" customHeight="1">
      <c r="A111" s="13"/>
      <c r="B111" s="13"/>
      <c r="C111" s="26" t="s">
        <v>257</v>
      </c>
      <c r="D111" s="16" t="s">
        <v>258</v>
      </c>
      <c r="E111" s="16">
        <v>0</v>
      </c>
      <c r="F111" s="173">
        <f>'Z 2'!O164</f>
        <v>8000</v>
      </c>
      <c r="G111" s="45">
        <v>0</v>
      </c>
    </row>
    <row r="112" spans="1:7" ht="18" customHeight="1">
      <c r="A112" s="13"/>
      <c r="B112" s="13"/>
      <c r="C112" s="26" t="s">
        <v>259</v>
      </c>
      <c r="D112" s="16" t="s">
        <v>260</v>
      </c>
      <c r="E112" s="16">
        <v>0</v>
      </c>
      <c r="F112" s="173">
        <f>'Z 2'!O165</f>
        <v>1000</v>
      </c>
      <c r="G112" s="45">
        <v>0</v>
      </c>
    </row>
    <row r="113" spans="1:7" ht="18.75" customHeight="1">
      <c r="A113" s="13"/>
      <c r="B113" s="13"/>
      <c r="C113" s="26" t="s">
        <v>319</v>
      </c>
      <c r="D113" s="16" t="s">
        <v>354</v>
      </c>
      <c r="E113" s="16">
        <v>0</v>
      </c>
      <c r="F113" s="173">
        <f>'Z 2'!O166</f>
        <v>10500</v>
      </c>
      <c r="G113" s="45">
        <v>0</v>
      </c>
    </row>
    <row r="114" spans="1:7" ht="15.75" customHeight="1">
      <c r="A114" s="13"/>
      <c r="B114" s="13"/>
      <c r="C114" s="26" t="s">
        <v>373</v>
      </c>
      <c r="D114" s="16" t="s">
        <v>579</v>
      </c>
      <c r="E114" s="16">
        <v>0</v>
      </c>
      <c r="F114" s="173">
        <f>'Z 2'!O167</f>
        <v>160</v>
      </c>
      <c r="G114" s="45">
        <v>0</v>
      </c>
    </row>
    <row r="115" spans="1:7" ht="21.75" customHeight="1" hidden="1">
      <c r="A115" s="13"/>
      <c r="B115" s="13"/>
      <c r="C115" s="26" t="s">
        <v>277</v>
      </c>
      <c r="D115" s="16" t="s">
        <v>580</v>
      </c>
      <c r="E115" s="16">
        <v>0</v>
      </c>
      <c r="F115" s="16">
        <v>0</v>
      </c>
      <c r="G115" s="45">
        <v>0</v>
      </c>
    </row>
    <row r="116" spans="1:7" ht="21.75" customHeight="1">
      <c r="A116" s="181" t="s">
        <v>316</v>
      </c>
      <c r="B116" s="181" t="s">
        <v>658</v>
      </c>
      <c r="C116" s="181" t="s">
        <v>429</v>
      </c>
      <c r="D116" s="154" t="s">
        <v>436</v>
      </c>
      <c r="E116" s="154">
        <f>'Z1'!V77</f>
        <v>3000</v>
      </c>
      <c r="F116" s="154">
        <f>F117+F118+F119</f>
        <v>3000</v>
      </c>
      <c r="G116" s="186">
        <v>0</v>
      </c>
    </row>
    <row r="117" spans="1:7" ht="21.75" customHeight="1">
      <c r="A117" s="284"/>
      <c r="B117" s="284"/>
      <c r="C117" s="286" t="s">
        <v>92</v>
      </c>
      <c r="D117" s="16" t="s">
        <v>106</v>
      </c>
      <c r="E117" s="173">
        <v>0</v>
      </c>
      <c r="F117" s="173">
        <f>'Z 2'!N170</f>
        <v>700</v>
      </c>
      <c r="G117" s="513"/>
    </row>
    <row r="118" spans="1:7" ht="21.75" customHeight="1">
      <c r="A118" s="13"/>
      <c r="B118" s="13"/>
      <c r="C118" s="26" t="s">
        <v>247</v>
      </c>
      <c r="D118" s="16" t="s">
        <v>248</v>
      </c>
      <c r="E118" s="16">
        <v>0</v>
      </c>
      <c r="F118" s="16">
        <f>'Z 2'!N171</f>
        <v>700</v>
      </c>
      <c r="G118" s="44">
        <v>0</v>
      </c>
    </row>
    <row r="119" spans="1:7" ht="21.75" customHeight="1">
      <c r="A119" s="13"/>
      <c r="B119" s="13"/>
      <c r="C119" s="26" t="s">
        <v>253</v>
      </c>
      <c r="D119" s="16" t="s">
        <v>370</v>
      </c>
      <c r="E119" s="16">
        <v>0</v>
      </c>
      <c r="F119" s="16">
        <f>'Z 2'!N172</f>
        <v>1600</v>
      </c>
      <c r="G119" s="45">
        <v>0</v>
      </c>
    </row>
    <row r="120" spans="1:7" ht="28.5" customHeight="1">
      <c r="A120" s="181" t="s">
        <v>442</v>
      </c>
      <c r="B120" s="181" t="s">
        <v>448</v>
      </c>
      <c r="C120" s="181" t="s">
        <v>429</v>
      </c>
      <c r="D120" s="182" t="s">
        <v>581</v>
      </c>
      <c r="E120" s="154">
        <f>'Z1'!V122</f>
        <v>548000</v>
      </c>
      <c r="F120" s="154">
        <f>F121</f>
        <v>548000</v>
      </c>
      <c r="G120" s="186">
        <v>0</v>
      </c>
    </row>
    <row r="121" spans="1:7" ht="20.25" customHeight="1">
      <c r="A121" s="13"/>
      <c r="B121" s="13"/>
      <c r="C121" s="26" t="s">
        <v>449</v>
      </c>
      <c r="D121" s="25" t="s">
        <v>582</v>
      </c>
      <c r="E121" s="16">
        <v>0</v>
      </c>
      <c r="F121" s="16">
        <f>'Z 2'!N311</f>
        <v>548000</v>
      </c>
      <c r="G121" s="45">
        <v>0</v>
      </c>
    </row>
    <row r="122" spans="1:7" ht="25.5" hidden="1">
      <c r="A122" s="13" t="s">
        <v>451</v>
      </c>
      <c r="B122" s="13" t="s">
        <v>462</v>
      </c>
      <c r="C122" s="13" t="s">
        <v>553</v>
      </c>
      <c r="D122" s="3" t="s">
        <v>463</v>
      </c>
      <c r="E122" s="6" t="e">
        <f>#REF!</f>
        <v>#REF!</v>
      </c>
      <c r="F122" s="6">
        <f>F123+F125+F124+F126+F127+F128+F129+F130+F131</f>
        <v>0</v>
      </c>
      <c r="G122" s="15">
        <v>0</v>
      </c>
    </row>
    <row r="123" spans="1:7" ht="25.5" hidden="1">
      <c r="A123" s="24"/>
      <c r="B123" s="13"/>
      <c r="C123" s="26" t="s">
        <v>237</v>
      </c>
      <c r="D123" s="25" t="s">
        <v>238</v>
      </c>
      <c r="E123" s="16">
        <v>0</v>
      </c>
      <c r="F123" s="16">
        <v>0</v>
      </c>
      <c r="G123" s="17">
        <v>0</v>
      </c>
    </row>
    <row r="124" spans="1:7" ht="12.75" hidden="1">
      <c r="A124" s="24"/>
      <c r="B124" s="13"/>
      <c r="C124" s="26" t="s">
        <v>241</v>
      </c>
      <c r="D124" s="25" t="s">
        <v>565</v>
      </c>
      <c r="E124" s="16">
        <v>0</v>
      </c>
      <c r="F124" s="16">
        <v>0</v>
      </c>
      <c r="G124" s="17">
        <v>0</v>
      </c>
    </row>
    <row r="125" spans="1:7" ht="12.75" hidden="1">
      <c r="A125" s="24"/>
      <c r="B125" s="13"/>
      <c r="C125" s="115" t="s">
        <v>270</v>
      </c>
      <c r="D125" s="25" t="s">
        <v>313</v>
      </c>
      <c r="E125" s="16">
        <v>0</v>
      </c>
      <c r="F125" s="16">
        <v>0</v>
      </c>
      <c r="G125" s="17">
        <v>0</v>
      </c>
    </row>
    <row r="126" spans="1:7" ht="12.75" hidden="1">
      <c r="A126" s="24"/>
      <c r="B126" s="13"/>
      <c r="C126" s="115" t="s">
        <v>245</v>
      </c>
      <c r="D126" s="25" t="s">
        <v>246</v>
      </c>
      <c r="E126" s="16">
        <v>0</v>
      </c>
      <c r="F126" s="16">
        <v>0</v>
      </c>
      <c r="G126" s="17">
        <v>0</v>
      </c>
    </row>
    <row r="127" spans="1:7" ht="13.5" customHeight="1" hidden="1">
      <c r="A127" s="24"/>
      <c r="B127" s="13"/>
      <c r="C127" s="115" t="s">
        <v>247</v>
      </c>
      <c r="D127" s="25" t="s">
        <v>248</v>
      </c>
      <c r="E127" s="16">
        <v>0</v>
      </c>
      <c r="F127" s="16">
        <v>0</v>
      </c>
      <c r="G127" s="17">
        <v>0</v>
      </c>
    </row>
    <row r="128" spans="1:7" ht="12.75" hidden="1">
      <c r="A128" s="24"/>
      <c r="B128" s="13"/>
      <c r="C128" s="115" t="s">
        <v>249</v>
      </c>
      <c r="D128" s="25" t="s">
        <v>368</v>
      </c>
      <c r="E128" s="16">
        <v>0</v>
      </c>
      <c r="F128" s="16">
        <v>0</v>
      </c>
      <c r="G128" s="17">
        <v>0</v>
      </c>
    </row>
    <row r="129" spans="1:7" ht="12.75" hidden="1">
      <c r="A129" s="24"/>
      <c r="B129" s="13"/>
      <c r="C129" s="115" t="s">
        <v>253</v>
      </c>
      <c r="D129" s="25" t="s">
        <v>370</v>
      </c>
      <c r="E129" s="16">
        <v>0</v>
      </c>
      <c r="F129" s="16">
        <v>0</v>
      </c>
      <c r="G129" s="17">
        <v>0</v>
      </c>
    </row>
    <row r="130" spans="1:7" ht="12.75" hidden="1">
      <c r="A130" s="24"/>
      <c r="B130" s="13"/>
      <c r="C130" s="115" t="s">
        <v>255</v>
      </c>
      <c r="D130" s="25" t="s">
        <v>256</v>
      </c>
      <c r="E130" s="16">
        <v>0</v>
      </c>
      <c r="F130" s="16">
        <v>0</v>
      </c>
      <c r="G130" s="17">
        <v>0</v>
      </c>
    </row>
    <row r="131" spans="1:7" ht="12.75" hidden="1">
      <c r="A131" s="24"/>
      <c r="B131" s="13"/>
      <c r="C131" s="115" t="s">
        <v>259</v>
      </c>
      <c r="D131" s="25" t="s">
        <v>260</v>
      </c>
      <c r="E131" s="16">
        <v>0</v>
      </c>
      <c r="F131" s="16">
        <v>0</v>
      </c>
      <c r="G131" s="17">
        <v>0</v>
      </c>
    </row>
    <row r="132" spans="1:7" ht="12.75" hidden="1">
      <c r="A132" s="13" t="s">
        <v>451</v>
      </c>
      <c r="B132" s="13" t="s">
        <v>468</v>
      </c>
      <c r="C132" s="13" t="s">
        <v>553</v>
      </c>
      <c r="D132" s="6" t="s">
        <v>469</v>
      </c>
      <c r="E132" s="6" t="e">
        <f>#REF!</f>
        <v>#REF!</v>
      </c>
      <c r="F132" s="6">
        <f>F133+F134+F135+F136+F137+F138+F140+F141+F142+F143+F144</f>
        <v>0</v>
      </c>
      <c r="G132" s="15">
        <v>0</v>
      </c>
    </row>
    <row r="133" spans="1:7" ht="25.5" hidden="1">
      <c r="A133" s="24"/>
      <c r="B133" s="13"/>
      <c r="C133" s="26" t="s">
        <v>237</v>
      </c>
      <c r="D133" s="25" t="s">
        <v>238</v>
      </c>
      <c r="E133" s="16">
        <v>0</v>
      </c>
      <c r="F133" s="16">
        <v>0</v>
      </c>
      <c r="G133" s="17">
        <v>0</v>
      </c>
    </row>
    <row r="134" spans="1:7" ht="12.75" hidden="1">
      <c r="A134" s="24"/>
      <c r="B134" s="13"/>
      <c r="C134" s="26" t="s">
        <v>241</v>
      </c>
      <c r="D134" s="16" t="s">
        <v>565</v>
      </c>
      <c r="E134" s="16">
        <v>0</v>
      </c>
      <c r="F134" s="16">
        <v>0</v>
      </c>
      <c r="G134" s="17">
        <v>0</v>
      </c>
    </row>
    <row r="135" spans="1:7" ht="12.75" hidden="1">
      <c r="A135" s="24"/>
      <c r="B135" s="13"/>
      <c r="C135" s="115" t="s">
        <v>270</v>
      </c>
      <c r="D135" s="25" t="s">
        <v>313</v>
      </c>
      <c r="E135" s="16">
        <v>0</v>
      </c>
      <c r="F135" s="16">
        <v>0</v>
      </c>
      <c r="G135" s="17">
        <v>0</v>
      </c>
    </row>
    <row r="136" spans="1:7" ht="12.75" hidden="1">
      <c r="A136" s="24"/>
      <c r="B136" s="13"/>
      <c r="C136" s="115" t="s">
        <v>245</v>
      </c>
      <c r="D136" s="25" t="s">
        <v>246</v>
      </c>
      <c r="E136" s="16">
        <v>0</v>
      </c>
      <c r="F136" s="16">
        <v>0</v>
      </c>
      <c r="G136" s="17">
        <v>0</v>
      </c>
    </row>
    <row r="137" spans="1:7" ht="12.75" hidden="1">
      <c r="A137" s="24"/>
      <c r="B137" s="24"/>
      <c r="C137" s="26" t="s">
        <v>247</v>
      </c>
      <c r="D137" s="16" t="s">
        <v>248</v>
      </c>
      <c r="E137" s="16">
        <v>0</v>
      </c>
      <c r="F137" s="16">
        <v>0</v>
      </c>
      <c r="G137" s="17">
        <v>0</v>
      </c>
    </row>
    <row r="138" spans="1:7" ht="12.75" hidden="1">
      <c r="A138" s="24"/>
      <c r="B138" s="24"/>
      <c r="C138" s="26" t="s">
        <v>249</v>
      </c>
      <c r="D138" s="16" t="s">
        <v>368</v>
      </c>
      <c r="E138" s="16">
        <v>0</v>
      </c>
      <c r="F138" s="16">
        <v>0</v>
      </c>
      <c r="G138" s="17">
        <v>0</v>
      </c>
    </row>
    <row r="139" spans="1:7" ht="12.75" hidden="1">
      <c r="A139" s="24"/>
      <c r="B139" s="24"/>
      <c r="C139" s="26" t="s">
        <v>251</v>
      </c>
      <c r="D139" s="16" t="s">
        <v>369</v>
      </c>
      <c r="E139" s="16">
        <v>0</v>
      </c>
      <c r="F139" s="16">
        <v>15074</v>
      </c>
      <c r="G139" s="17">
        <v>0</v>
      </c>
    </row>
    <row r="140" spans="1:7" ht="12.75" hidden="1">
      <c r="A140" s="24"/>
      <c r="B140" s="24"/>
      <c r="C140" s="26" t="s">
        <v>253</v>
      </c>
      <c r="D140" s="16" t="s">
        <v>370</v>
      </c>
      <c r="E140" s="16">
        <v>0</v>
      </c>
      <c r="F140" s="16">
        <v>0</v>
      </c>
      <c r="G140" s="17">
        <v>0</v>
      </c>
    </row>
    <row r="141" spans="1:7" ht="12.75" hidden="1">
      <c r="A141" s="24"/>
      <c r="B141" s="24"/>
      <c r="C141" s="26" t="s">
        <v>255</v>
      </c>
      <c r="D141" s="16" t="s">
        <v>256</v>
      </c>
      <c r="E141" s="16">
        <v>0</v>
      </c>
      <c r="F141" s="16">
        <v>0</v>
      </c>
      <c r="G141" s="17">
        <v>0</v>
      </c>
    </row>
    <row r="142" spans="1:7" ht="12.75" hidden="1">
      <c r="A142" s="24"/>
      <c r="B142" s="24"/>
      <c r="C142" s="26" t="s">
        <v>257</v>
      </c>
      <c r="D142" s="16" t="s">
        <v>258</v>
      </c>
      <c r="E142" s="16">
        <v>0</v>
      </c>
      <c r="F142" s="16">
        <v>0</v>
      </c>
      <c r="G142" s="17">
        <v>0</v>
      </c>
    </row>
    <row r="143" spans="1:7" ht="12.75" hidden="1">
      <c r="A143" s="24"/>
      <c r="B143" s="24"/>
      <c r="C143" s="26" t="s">
        <v>259</v>
      </c>
      <c r="D143" s="16" t="s">
        <v>260</v>
      </c>
      <c r="E143" s="16">
        <v>0</v>
      </c>
      <c r="F143" s="16">
        <v>0</v>
      </c>
      <c r="G143" s="17">
        <v>0</v>
      </c>
    </row>
    <row r="144" spans="1:7" ht="12.75" hidden="1">
      <c r="A144" s="24"/>
      <c r="B144" s="24"/>
      <c r="C144" s="26" t="s">
        <v>275</v>
      </c>
      <c r="D144" s="16" t="s">
        <v>276</v>
      </c>
      <c r="E144" s="16">
        <v>0</v>
      </c>
      <c r="F144" s="16">
        <v>0</v>
      </c>
      <c r="G144" s="17">
        <v>0</v>
      </c>
    </row>
    <row r="145" spans="1:7" ht="21" customHeight="1">
      <c r="A145" s="606" t="s">
        <v>583</v>
      </c>
      <c r="B145" s="606"/>
      <c r="C145" s="606"/>
      <c r="D145" s="606"/>
      <c r="E145" s="172">
        <f>E14+E31+E39+E41+E43+E55+E65+E94+E116+E120</f>
        <v>3206295</v>
      </c>
      <c r="F145" s="172">
        <f>F14+F31+F39+F41+F43+F55+F65+F94+F116+F120</f>
        <v>3206295</v>
      </c>
      <c r="G145" s="172">
        <f>G10</f>
        <v>138608</v>
      </c>
    </row>
    <row r="146" ht="12.75">
      <c r="E146" t="s">
        <v>199</v>
      </c>
    </row>
  </sheetData>
  <mergeCells count="9">
    <mergeCell ref="B13:F13"/>
    <mergeCell ref="E1:G1"/>
    <mergeCell ref="A145:D145"/>
    <mergeCell ref="G7:G8"/>
    <mergeCell ref="D7:D8"/>
    <mergeCell ref="F7:F8"/>
    <mergeCell ref="A7:C7"/>
    <mergeCell ref="E7:E8"/>
    <mergeCell ref="A5:G5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scale="8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F2" sqref="F2"/>
    </sheetView>
  </sheetViews>
  <sheetFormatPr defaultColWidth="9.00390625" defaultRowHeight="12.75"/>
  <cols>
    <col min="1" max="1" width="4.625" style="0" customWidth="1"/>
    <col min="2" max="2" width="7.25390625" style="0" customWidth="1"/>
    <col min="3" max="3" width="6.25390625" style="0" customWidth="1"/>
    <col min="4" max="4" width="34.00390625" style="0" customWidth="1"/>
    <col min="5" max="5" width="16.375" style="0" customWidth="1"/>
    <col min="6" max="6" width="16.875" style="0" customWidth="1"/>
    <col min="7" max="7" width="9.625" style="0" bestFit="1" customWidth="1"/>
  </cols>
  <sheetData>
    <row r="1" spans="4:6" ht="40.5" customHeight="1">
      <c r="D1" s="1"/>
      <c r="E1" s="553" t="s">
        <v>772</v>
      </c>
      <c r="F1" s="553"/>
    </row>
    <row r="2" spans="5:6" ht="30" customHeight="1">
      <c r="E2" s="1"/>
      <c r="F2" s="1"/>
    </row>
    <row r="3" spans="1:6" ht="63" customHeight="1" thickBot="1">
      <c r="A3" s="623" t="s">
        <v>89</v>
      </c>
      <c r="B3" s="623"/>
      <c r="C3" s="623"/>
      <c r="D3" s="623"/>
      <c r="E3" s="623"/>
      <c r="F3" s="623"/>
    </row>
    <row r="4" spans="1:6" ht="13.5" thickBot="1">
      <c r="A4" s="624" t="s">
        <v>542</v>
      </c>
      <c r="B4" s="625"/>
      <c r="C4" s="626"/>
      <c r="D4" s="627" t="s">
        <v>543</v>
      </c>
      <c r="E4" s="629" t="s">
        <v>584</v>
      </c>
      <c r="F4" s="631" t="s">
        <v>545</v>
      </c>
    </row>
    <row r="5" spans="1:6" ht="12.75">
      <c r="A5" s="324" t="s">
        <v>547</v>
      </c>
      <c r="B5" s="325" t="s">
        <v>548</v>
      </c>
      <c r="C5" s="324" t="s">
        <v>206</v>
      </c>
      <c r="D5" s="628"/>
      <c r="E5" s="630"/>
      <c r="F5" s="632"/>
    </row>
    <row r="6" spans="1:6" ht="12.75" customHeight="1" thickBot="1">
      <c r="A6" s="318">
        <v>1</v>
      </c>
      <c r="B6" s="315">
        <v>2</v>
      </c>
      <c r="C6" s="315">
        <v>3</v>
      </c>
      <c r="D6" s="319">
        <v>4</v>
      </c>
      <c r="E6" s="315">
        <v>5</v>
      </c>
      <c r="F6" s="315">
        <v>6</v>
      </c>
    </row>
    <row r="7" spans="1:6" ht="12.75">
      <c r="A7" s="317">
        <v>852</v>
      </c>
      <c r="B7" s="317">
        <v>85201</v>
      </c>
      <c r="C7" s="317">
        <v>2130</v>
      </c>
      <c r="D7" s="317" t="s">
        <v>327</v>
      </c>
      <c r="E7" s="317">
        <f>'Z1'!V128</f>
        <v>3000</v>
      </c>
      <c r="F7" s="321">
        <f>F8</f>
        <v>3000</v>
      </c>
    </row>
    <row r="8" spans="1:6" ht="12.75">
      <c r="A8" s="48"/>
      <c r="B8" s="41"/>
      <c r="C8" s="92">
        <v>4010</v>
      </c>
      <c r="D8" s="93" t="s">
        <v>238</v>
      </c>
      <c r="E8" s="320"/>
      <c r="F8" s="94">
        <v>3000</v>
      </c>
    </row>
    <row r="9" spans="1:6" ht="12.75">
      <c r="A9" s="152">
        <v>852</v>
      </c>
      <c r="B9" s="152">
        <v>85202</v>
      </c>
      <c r="C9" s="152">
        <v>2130</v>
      </c>
      <c r="D9" s="189" t="s">
        <v>458</v>
      </c>
      <c r="E9" s="190">
        <f>'Z1'!V134</f>
        <v>543538</v>
      </c>
      <c r="F9" s="321">
        <f>F10+F11+F12+F14+F13+F15+F16+F17+F18+F19+F20+F21+F22+F23+F24+F25+F26</f>
        <v>543538</v>
      </c>
    </row>
    <row r="10" spans="1:6" ht="18" customHeight="1">
      <c r="A10" s="91"/>
      <c r="B10" s="47"/>
      <c r="C10" s="97">
        <v>4010</v>
      </c>
      <c r="D10" s="93" t="s">
        <v>238</v>
      </c>
      <c r="E10" s="90">
        <v>0</v>
      </c>
      <c r="F10" s="94">
        <v>306229</v>
      </c>
    </row>
    <row r="11" spans="1:6" ht="12.75">
      <c r="A11" s="95"/>
      <c r="B11" s="96"/>
      <c r="C11" s="97">
        <v>4040</v>
      </c>
      <c r="D11" s="93" t="s">
        <v>569</v>
      </c>
      <c r="E11" s="90">
        <v>0</v>
      </c>
      <c r="F11" s="94">
        <v>30087</v>
      </c>
    </row>
    <row r="12" spans="1:6" ht="12.75">
      <c r="A12" s="95"/>
      <c r="B12" s="96"/>
      <c r="C12" s="143">
        <v>4110</v>
      </c>
      <c r="D12" s="93" t="s">
        <v>313</v>
      </c>
      <c r="E12" s="90">
        <v>0</v>
      </c>
      <c r="F12" s="94">
        <v>58150</v>
      </c>
    </row>
    <row r="13" spans="1:6" ht="12.75">
      <c r="A13" s="95"/>
      <c r="B13" s="96"/>
      <c r="C13" s="143">
        <v>4120</v>
      </c>
      <c r="D13" s="93" t="s">
        <v>246</v>
      </c>
      <c r="E13" s="90">
        <v>0</v>
      </c>
      <c r="F13" s="94">
        <v>8270</v>
      </c>
    </row>
    <row r="14" spans="1:6" ht="12.75" hidden="1">
      <c r="A14" s="95"/>
      <c r="B14" s="96"/>
      <c r="C14" s="97">
        <v>3020</v>
      </c>
      <c r="D14" s="93" t="s">
        <v>90</v>
      </c>
      <c r="E14" s="90">
        <v>0</v>
      </c>
      <c r="F14" s="94">
        <v>0</v>
      </c>
    </row>
    <row r="15" spans="1:6" ht="12.75" hidden="1">
      <c r="A15" s="95"/>
      <c r="B15" s="96"/>
      <c r="C15" s="97">
        <v>3030</v>
      </c>
      <c r="D15" s="93" t="s">
        <v>455</v>
      </c>
      <c r="E15" s="90">
        <v>0</v>
      </c>
      <c r="F15" s="94">
        <v>0</v>
      </c>
    </row>
    <row r="16" spans="1:6" ht="12.75">
      <c r="A16" s="48"/>
      <c r="B16" s="41"/>
      <c r="C16" s="97">
        <v>4410</v>
      </c>
      <c r="D16" s="93" t="s">
        <v>256</v>
      </c>
      <c r="E16" s="90">
        <v>0</v>
      </c>
      <c r="F16" s="94">
        <v>600</v>
      </c>
    </row>
    <row r="17" spans="1:6" ht="12.75">
      <c r="A17" s="91"/>
      <c r="B17" s="47"/>
      <c r="C17" s="97">
        <v>4210</v>
      </c>
      <c r="D17" s="93" t="s">
        <v>248</v>
      </c>
      <c r="E17" s="90">
        <v>0</v>
      </c>
      <c r="F17" s="94">
        <v>54716</v>
      </c>
    </row>
    <row r="18" spans="1:6" ht="12.75">
      <c r="A18" s="95"/>
      <c r="B18" s="96"/>
      <c r="C18" s="98">
        <v>4220</v>
      </c>
      <c r="D18" s="99" t="s">
        <v>365</v>
      </c>
      <c r="E18" s="100">
        <v>0</v>
      </c>
      <c r="F18" s="101">
        <v>1000</v>
      </c>
    </row>
    <row r="19" spans="1:6" ht="12.75">
      <c r="A19" s="15"/>
      <c r="B19" s="15"/>
      <c r="C19" s="17">
        <v>4230</v>
      </c>
      <c r="D19" s="93" t="s">
        <v>91</v>
      </c>
      <c r="E19" s="90">
        <v>0</v>
      </c>
      <c r="F19" s="94">
        <v>3805</v>
      </c>
    </row>
    <row r="20" spans="1:6" ht="12.75">
      <c r="A20" s="15"/>
      <c r="B20" s="15"/>
      <c r="C20" s="17">
        <v>4260</v>
      </c>
      <c r="D20" s="93" t="s">
        <v>368</v>
      </c>
      <c r="E20" s="90">
        <v>0</v>
      </c>
      <c r="F20" s="94">
        <v>33152</v>
      </c>
    </row>
    <row r="21" spans="1:6" ht="12.75" hidden="1">
      <c r="A21" s="95"/>
      <c r="B21" s="96"/>
      <c r="C21" s="102">
        <v>4270</v>
      </c>
      <c r="D21" s="103" t="s">
        <v>369</v>
      </c>
      <c r="E21" s="104">
        <v>0</v>
      </c>
      <c r="F21" s="105">
        <v>0</v>
      </c>
    </row>
    <row r="22" spans="1:6" ht="12.75">
      <c r="A22" s="95"/>
      <c r="B22" s="96"/>
      <c r="C22" s="97">
        <v>4300</v>
      </c>
      <c r="D22" s="93" t="s">
        <v>370</v>
      </c>
      <c r="E22" s="90">
        <v>0</v>
      </c>
      <c r="F22" s="94">
        <v>31440</v>
      </c>
    </row>
    <row r="23" spans="1:6" ht="12.75">
      <c r="A23" s="95"/>
      <c r="B23" s="96"/>
      <c r="C23" s="97">
        <v>4430</v>
      </c>
      <c r="D23" s="93" t="s">
        <v>258</v>
      </c>
      <c r="E23" s="90">
        <v>0</v>
      </c>
      <c r="F23" s="94">
        <v>0</v>
      </c>
    </row>
    <row r="24" spans="1:6" ht="12.75">
      <c r="A24" s="95"/>
      <c r="B24" s="96"/>
      <c r="C24" s="97">
        <v>4440</v>
      </c>
      <c r="D24" s="93" t="s">
        <v>260</v>
      </c>
      <c r="E24" s="90">
        <v>0</v>
      </c>
      <c r="F24" s="94">
        <v>14350</v>
      </c>
    </row>
    <row r="25" spans="1:6" ht="12.75">
      <c r="A25" s="95"/>
      <c r="B25" s="96"/>
      <c r="C25" s="97">
        <v>4480</v>
      </c>
      <c r="D25" s="93" t="s">
        <v>276</v>
      </c>
      <c r="E25" s="90">
        <v>0</v>
      </c>
      <c r="F25" s="94">
        <v>1313</v>
      </c>
    </row>
    <row r="26" spans="1:6" ht="12.75">
      <c r="A26" s="95"/>
      <c r="B26" s="96"/>
      <c r="C26" s="98">
        <v>4520</v>
      </c>
      <c r="D26" s="99" t="s">
        <v>579</v>
      </c>
      <c r="E26" s="100"/>
      <c r="F26" s="101">
        <v>426</v>
      </c>
    </row>
    <row r="27" spans="1:6" ht="25.5">
      <c r="A27" s="152">
        <v>852</v>
      </c>
      <c r="B27" s="152">
        <v>85218</v>
      </c>
      <c r="C27" s="152">
        <v>2130</v>
      </c>
      <c r="D27" s="189" t="s">
        <v>463</v>
      </c>
      <c r="E27" s="190">
        <f>'Z1'!V140</f>
        <v>3000</v>
      </c>
      <c r="F27" s="191">
        <f>F28</f>
        <v>3000</v>
      </c>
    </row>
    <row r="28" spans="1:6" ht="12.75">
      <c r="A28" s="426"/>
      <c r="B28" s="426"/>
      <c r="C28" s="429">
        <v>4010</v>
      </c>
      <c r="D28" s="99" t="s">
        <v>238</v>
      </c>
      <c r="E28" s="427">
        <v>0</v>
      </c>
      <c r="F28" s="428">
        <v>3000</v>
      </c>
    </row>
    <row r="29" spans="1:6" ht="33.75">
      <c r="A29" s="422">
        <v>852</v>
      </c>
      <c r="B29" s="422">
        <v>85220</v>
      </c>
      <c r="C29" s="464">
        <v>2130</v>
      </c>
      <c r="D29" s="193" t="s">
        <v>528</v>
      </c>
      <c r="E29" s="465">
        <v>75000</v>
      </c>
      <c r="F29" s="466">
        <f>F30+F31+F32</f>
        <v>75000</v>
      </c>
    </row>
    <row r="30" spans="1:6" ht="12.75">
      <c r="A30" s="426"/>
      <c r="B30" s="426"/>
      <c r="C30" s="429">
        <v>4210</v>
      </c>
      <c r="D30" s="93" t="s">
        <v>248</v>
      </c>
      <c r="E30" s="427"/>
      <c r="F30" s="428">
        <v>57900</v>
      </c>
    </row>
    <row r="31" spans="1:6" ht="12.75">
      <c r="A31" s="426"/>
      <c r="B31" s="426"/>
      <c r="C31" s="429">
        <v>4260</v>
      </c>
      <c r="D31" s="93" t="s">
        <v>368</v>
      </c>
      <c r="E31" s="427"/>
      <c r="F31" s="428">
        <v>7300</v>
      </c>
    </row>
    <row r="32" spans="1:6" ht="12.75">
      <c r="A32" s="426"/>
      <c r="B32" s="426"/>
      <c r="C32" s="429">
        <v>4300</v>
      </c>
      <c r="D32" s="93" t="s">
        <v>370</v>
      </c>
      <c r="E32" s="427"/>
      <c r="F32" s="428">
        <v>9800</v>
      </c>
    </row>
    <row r="33" spans="1:6" ht="12.75">
      <c r="A33" s="422">
        <v>854</v>
      </c>
      <c r="B33" s="422">
        <v>85415</v>
      </c>
      <c r="C33" s="422">
        <v>2130</v>
      </c>
      <c r="D33" s="423" t="s">
        <v>101</v>
      </c>
      <c r="E33" s="424">
        <f>'Z1'!V173</f>
        <v>248400</v>
      </c>
      <c r="F33" s="425">
        <f>F34</f>
        <v>248400</v>
      </c>
    </row>
    <row r="34" spans="1:6" ht="15" customHeight="1" thickBot="1">
      <c r="A34" s="47"/>
      <c r="B34" s="47"/>
      <c r="C34" s="322">
        <v>3240</v>
      </c>
      <c r="D34" s="99" t="s">
        <v>742</v>
      </c>
      <c r="E34" s="100">
        <v>0</v>
      </c>
      <c r="F34" s="101">
        <v>248400</v>
      </c>
    </row>
    <row r="35" spans="1:6" ht="18.75" customHeight="1" thickBot="1">
      <c r="A35" s="620" t="s">
        <v>109</v>
      </c>
      <c r="B35" s="621"/>
      <c r="C35" s="621"/>
      <c r="D35" s="622"/>
      <c r="E35" s="323">
        <f>E7+E9+E27+E29+E33</f>
        <v>872938</v>
      </c>
      <c r="F35" s="323">
        <f>F7+F9+F27+F29+F33</f>
        <v>872938</v>
      </c>
    </row>
    <row r="36" ht="12.75">
      <c r="C36" s="106"/>
    </row>
    <row r="37" spans="3:5" ht="12.75">
      <c r="C37" s="106"/>
      <c r="E37" s="118" t="s">
        <v>176</v>
      </c>
    </row>
    <row r="38" spans="1:6" ht="38.25" customHeight="1">
      <c r="A38" s="619"/>
      <c r="B38" s="619"/>
      <c r="C38" s="619"/>
      <c r="D38" s="619"/>
      <c r="E38" s="619"/>
      <c r="F38" s="619"/>
    </row>
    <row r="39" ht="12.75">
      <c r="C39" s="106"/>
    </row>
    <row r="40" ht="12.75">
      <c r="C40" s="106"/>
    </row>
    <row r="41" ht="12.75">
      <c r="C41" s="106"/>
    </row>
    <row r="42" ht="12.75">
      <c r="C42" s="106"/>
    </row>
  </sheetData>
  <mergeCells count="8">
    <mergeCell ref="E1:F1"/>
    <mergeCell ref="A38:F38"/>
    <mergeCell ref="A35:D35"/>
    <mergeCell ref="A3:F3"/>
    <mergeCell ref="A4:C4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">
      <selection activeCell="C1" sqref="C1:F1"/>
    </sheetView>
  </sheetViews>
  <sheetFormatPr defaultColWidth="9.00390625" defaultRowHeight="12.75"/>
  <cols>
    <col min="1" max="1" width="6.375" style="0" customWidth="1"/>
    <col min="2" max="2" width="9.00390625" style="0" customWidth="1"/>
    <col min="3" max="3" width="11.25390625" style="0" customWidth="1"/>
    <col min="4" max="4" width="28.125" style="0" customWidth="1"/>
    <col min="5" max="5" width="15.875" style="0" customWidth="1"/>
    <col min="6" max="6" width="17.00390625" style="0" customWidth="1"/>
  </cols>
  <sheetData>
    <row r="1" spans="3:6" ht="24" customHeight="1">
      <c r="C1" s="634" t="s">
        <v>773</v>
      </c>
      <c r="D1" s="634"/>
      <c r="E1" s="634"/>
      <c r="F1" s="634"/>
    </row>
    <row r="2" spans="1:6" ht="29.25" customHeight="1">
      <c r="A2" s="635" t="s">
        <v>21</v>
      </c>
      <c r="B2" s="635"/>
      <c r="C2" s="635"/>
      <c r="D2" s="635"/>
      <c r="E2" s="635"/>
      <c r="F2" s="635"/>
    </row>
    <row r="3" spans="1:6" ht="12" customHeight="1">
      <c r="A3" s="636" t="s">
        <v>542</v>
      </c>
      <c r="B3" s="636"/>
      <c r="C3" s="636"/>
      <c r="D3" s="633" t="s">
        <v>543</v>
      </c>
      <c r="E3" s="633" t="s">
        <v>584</v>
      </c>
      <c r="F3" s="633" t="s">
        <v>545</v>
      </c>
    </row>
    <row r="4" spans="1:6" ht="12" customHeight="1">
      <c r="A4" s="12" t="s">
        <v>547</v>
      </c>
      <c r="B4" s="12" t="s">
        <v>548</v>
      </c>
      <c r="C4" s="12" t="s">
        <v>206</v>
      </c>
      <c r="D4" s="633"/>
      <c r="E4" s="633"/>
      <c r="F4" s="633"/>
    </row>
    <row r="5" spans="1:6" ht="11.25" customHeight="1">
      <c r="A5" s="108">
        <v>1</v>
      </c>
      <c r="B5" s="108">
        <v>2</v>
      </c>
      <c r="C5" s="108">
        <v>3</v>
      </c>
      <c r="D5" s="108">
        <v>4</v>
      </c>
      <c r="E5" s="108">
        <v>5</v>
      </c>
      <c r="F5" s="108">
        <v>6</v>
      </c>
    </row>
    <row r="6" spans="1:6" ht="17.25" customHeight="1">
      <c r="A6" s="197"/>
      <c r="B6" s="197"/>
      <c r="C6" s="197"/>
      <c r="D6" s="198" t="s">
        <v>40</v>
      </c>
      <c r="E6" s="198">
        <f>E7+E10+E13+E17</f>
        <v>803221</v>
      </c>
      <c r="F6" s="198">
        <f>F13+F17</f>
        <v>0</v>
      </c>
    </row>
    <row r="7" spans="1:6" ht="24.75" customHeight="1">
      <c r="A7" s="184">
        <v>754</v>
      </c>
      <c r="B7" s="152">
        <v>75411</v>
      </c>
      <c r="C7" s="311"/>
      <c r="D7" s="185" t="s">
        <v>324</v>
      </c>
      <c r="E7" s="184">
        <f>E9</f>
        <v>20000</v>
      </c>
      <c r="F7" s="184"/>
    </row>
    <row r="8" spans="1:6" ht="12" customHeight="1">
      <c r="A8" s="310"/>
      <c r="B8" s="310"/>
      <c r="C8" s="309"/>
      <c r="D8" s="313" t="s">
        <v>587</v>
      </c>
      <c r="E8" s="310"/>
      <c r="F8" s="310"/>
    </row>
    <row r="9" spans="1:6" ht="14.25" customHeight="1">
      <c r="A9" s="309"/>
      <c r="B9" s="309"/>
      <c r="C9" s="312">
        <v>6630</v>
      </c>
      <c r="D9" s="314" t="s">
        <v>412</v>
      </c>
      <c r="E9" s="312">
        <f>'Z1'!V68</f>
        <v>20000</v>
      </c>
      <c r="F9" s="310"/>
    </row>
    <row r="10" spans="1:6" ht="14.25" customHeight="1">
      <c r="A10" s="184">
        <v>801</v>
      </c>
      <c r="B10" s="152">
        <v>80147</v>
      </c>
      <c r="C10" s="196"/>
      <c r="D10" s="153" t="s">
        <v>179</v>
      </c>
      <c r="E10" s="196">
        <f>E12</f>
        <v>290000</v>
      </c>
      <c r="F10" s="184"/>
    </row>
    <row r="11" spans="1:6" ht="9.75" customHeight="1">
      <c r="A11" s="310"/>
      <c r="B11" s="310"/>
      <c r="C11" s="312"/>
      <c r="D11" s="404" t="s">
        <v>587</v>
      </c>
      <c r="E11" s="312"/>
      <c r="F11" s="310"/>
    </row>
    <row r="12" spans="1:6" ht="14.25" customHeight="1">
      <c r="A12" s="309"/>
      <c r="B12" s="309"/>
      <c r="C12" s="312">
        <v>6300</v>
      </c>
      <c r="D12" s="314" t="s">
        <v>412</v>
      </c>
      <c r="E12" s="312">
        <f>'Z1'!V108</f>
        <v>290000</v>
      </c>
      <c r="F12" s="310"/>
    </row>
    <row r="13" spans="1:6" ht="15" customHeight="1">
      <c r="A13" s="154">
        <v>803</v>
      </c>
      <c r="B13" s="154">
        <v>80309</v>
      </c>
      <c r="C13" s="196"/>
      <c r="D13" s="195" t="s">
        <v>624</v>
      </c>
      <c r="E13" s="184">
        <f>E15+E16</f>
        <v>85061</v>
      </c>
      <c r="F13" s="184">
        <f>F15+F16</f>
        <v>0</v>
      </c>
    </row>
    <row r="14" spans="1:6" ht="11.25" customHeight="1">
      <c r="A14" s="6"/>
      <c r="B14" s="6"/>
      <c r="C14" s="49"/>
      <c r="D14" s="115" t="s">
        <v>587</v>
      </c>
      <c r="E14" s="49"/>
      <c r="F14" s="49"/>
    </row>
    <row r="15" spans="1:6" ht="11.25" customHeight="1">
      <c r="A15" s="16"/>
      <c r="B15" s="16"/>
      <c r="C15" s="49">
        <v>2888</v>
      </c>
      <c r="D15" s="115" t="s">
        <v>412</v>
      </c>
      <c r="E15" s="49">
        <f>'Z1'!V112</f>
        <v>63795</v>
      </c>
      <c r="F15" s="49"/>
    </row>
    <row r="16" spans="1:6" ht="11.25" customHeight="1">
      <c r="A16" s="16"/>
      <c r="B16" s="16"/>
      <c r="C16" s="49">
        <v>2889</v>
      </c>
      <c r="D16" s="115" t="s">
        <v>412</v>
      </c>
      <c r="E16" s="49">
        <f>'Z1'!V113</f>
        <v>21266</v>
      </c>
      <c r="F16" s="49"/>
    </row>
    <row r="17" spans="1:6" ht="11.25" customHeight="1">
      <c r="A17" s="154">
        <v>854</v>
      </c>
      <c r="B17" s="154">
        <v>85415</v>
      </c>
      <c r="C17" s="196"/>
      <c r="D17" s="195" t="s">
        <v>10</v>
      </c>
      <c r="E17" s="184">
        <f>E19+E20</f>
        <v>408160</v>
      </c>
      <c r="F17" s="184">
        <f>F19+F20</f>
        <v>0</v>
      </c>
    </row>
    <row r="18" spans="1:6" ht="11.25" customHeight="1">
      <c r="A18" s="16"/>
      <c r="B18" s="16"/>
      <c r="C18" s="49"/>
      <c r="D18" s="115" t="s">
        <v>587</v>
      </c>
      <c r="E18" s="49"/>
      <c r="F18" s="49"/>
    </row>
    <row r="19" spans="1:6" ht="11.25" customHeight="1">
      <c r="A19" s="16"/>
      <c r="B19" s="16"/>
      <c r="C19" s="49">
        <v>2888</v>
      </c>
      <c r="D19" s="115" t="s">
        <v>412</v>
      </c>
      <c r="E19" s="49">
        <f>'Z1'!V174</f>
        <v>277549</v>
      </c>
      <c r="F19" s="49">
        <v>0</v>
      </c>
    </row>
    <row r="20" spans="1:6" ht="11.25" customHeight="1">
      <c r="A20" s="16"/>
      <c r="B20" s="16"/>
      <c r="C20" s="49">
        <v>2889</v>
      </c>
      <c r="D20" s="115" t="s">
        <v>412</v>
      </c>
      <c r="E20" s="49">
        <f>'Z1'!V175</f>
        <v>130611</v>
      </c>
      <c r="F20" s="49">
        <v>0</v>
      </c>
    </row>
    <row r="21" spans="1:6" ht="16.5" customHeight="1">
      <c r="A21" s="197"/>
      <c r="B21" s="197"/>
      <c r="C21" s="197"/>
      <c r="D21" s="198" t="s">
        <v>41</v>
      </c>
      <c r="E21" s="198">
        <f>E23+E26+E29+E32+E37+E40+E53+E64+E67+E71+E74+E80+E83</f>
        <v>863277</v>
      </c>
      <c r="F21" s="198">
        <f>F23+F26+F29+F32+F37+F40+F53+F64+F67+F71+F74+F80+F83</f>
        <v>409019</v>
      </c>
    </row>
    <row r="22" spans="1:6" ht="15.75" customHeight="1" hidden="1">
      <c r="A22" s="49"/>
      <c r="B22" s="49"/>
      <c r="C22" s="49"/>
      <c r="D22" s="18" t="s">
        <v>190</v>
      </c>
      <c r="E22" s="49">
        <v>0</v>
      </c>
      <c r="F22" s="49">
        <v>0</v>
      </c>
    </row>
    <row r="23" spans="1:6" ht="15.75" customHeight="1">
      <c r="A23" s="183" t="s">
        <v>215</v>
      </c>
      <c r="B23" s="183" t="s">
        <v>718</v>
      </c>
      <c r="C23" s="184">
        <v>2310</v>
      </c>
      <c r="D23" s="153" t="s">
        <v>315</v>
      </c>
      <c r="E23" s="184">
        <f>E25</f>
        <v>0</v>
      </c>
      <c r="F23" s="184">
        <f>F25</f>
        <v>1700</v>
      </c>
    </row>
    <row r="24" spans="1:6" ht="12.75" customHeight="1">
      <c r="A24" s="49"/>
      <c r="B24" s="49"/>
      <c r="C24" s="49"/>
      <c r="D24" s="18" t="s">
        <v>587</v>
      </c>
      <c r="E24" s="49"/>
      <c r="F24" s="49"/>
    </row>
    <row r="25" spans="1:6" ht="15.75" customHeight="1">
      <c r="A25" s="49"/>
      <c r="B25" s="49"/>
      <c r="C25" s="49">
        <v>2310</v>
      </c>
      <c r="D25" s="18" t="s">
        <v>146</v>
      </c>
      <c r="E25" s="49">
        <v>0</v>
      </c>
      <c r="F25" s="49">
        <f>'Z 2'!Q30</f>
        <v>1700</v>
      </c>
    </row>
    <row r="26" spans="1:6" ht="25.5" customHeight="1">
      <c r="A26" s="185">
        <v>754</v>
      </c>
      <c r="B26" s="185">
        <v>75411</v>
      </c>
      <c r="C26" s="185">
        <v>2310</v>
      </c>
      <c r="D26" s="189" t="s">
        <v>0</v>
      </c>
      <c r="E26" s="185">
        <f>E28</f>
        <v>1000</v>
      </c>
      <c r="F26" s="185">
        <f>F28</f>
        <v>0</v>
      </c>
    </row>
    <row r="27" spans="1:6" ht="14.25" customHeight="1">
      <c r="A27" s="49"/>
      <c r="B27" s="49"/>
      <c r="C27" s="49"/>
      <c r="D27" s="18" t="s">
        <v>587</v>
      </c>
      <c r="E27" s="49"/>
      <c r="F27" s="49"/>
    </row>
    <row r="28" spans="1:6" ht="15.75" customHeight="1">
      <c r="A28" s="49"/>
      <c r="B28" s="49"/>
      <c r="C28" s="49"/>
      <c r="D28" s="18" t="s">
        <v>144</v>
      </c>
      <c r="E28" s="49">
        <v>1000</v>
      </c>
      <c r="F28" s="49">
        <v>0</v>
      </c>
    </row>
    <row r="29" spans="1:6" ht="27" customHeight="1">
      <c r="A29" s="478">
        <v>754</v>
      </c>
      <c r="B29" s="478">
        <v>75411</v>
      </c>
      <c r="C29" s="196">
        <v>6610</v>
      </c>
      <c r="D29" s="189" t="s">
        <v>0</v>
      </c>
      <c r="E29" s="478">
        <f>E31</f>
        <v>10000</v>
      </c>
      <c r="F29" s="478">
        <v>0</v>
      </c>
    </row>
    <row r="30" spans="1:6" ht="11.25" customHeight="1">
      <c r="A30" s="49"/>
      <c r="B30" s="49"/>
      <c r="C30" s="49"/>
      <c r="D30" s="18" t="s">
        <v>587</v>
      </c>
      <c r="E30" s="49">
        <v>0</v>
      </c>
      <c r="F30" s="49"/>
    </row>
    <row r="31" spans="1:6" ht="15.75" customHeight="1">
      <c r="A31" s="49"/>
      <c r="B31" s="49"/>
      <c r="C31" s="49"/>
      <c r="D31" s="18" t="s">
        <v>763</v>
      </c>
      <c r="E31" s="49">
        <v>10000</v>
      </c>
      <c r="F31" s="49">
        <v>0</v>
      </c>
    </row>
    <row r="32" spans="1:6" ht="13.5" customHeight="1">
      <c r="A32" s="184">
        <v>600</v>
      </c>
      <c r="B32" s="184">
        <v>60014</v>
      </c>
      <c r="C32" s="184">
        <v>6610</v>
      </c>
      <c r="D32" s="184" t="s">
        <v>188</v>
      </c>
      <c r="E32" s="184">
        <f>E34+E36+E35</f>
        <v>170000</v>
      </c>
      <c r="F32" s="184">
        <f>F34+F36+F35</f>
        <v>0</v>
      </c>
    </row>
    <row r="33" spans="1:6" ht="12" customHeight="1">
      <c r="A33" s="49"/>
      <c r="B33" s="49"/>
      <c r="C33" s="49"/>
      <c r="D33" s="128" t="s">
        <v>587</v>
      </c>
      <c r="E33" s="49"/>
      <c r="F33" s="49"/>
    </row>
    <row r="34" spans="1:6" ht="12.75" customHeight="1">
      <c r="A34" s="18"/>
      <c r="B34" s="18"/>
      <c r="C34" s="49">
        <v>6610</v>
      </c>
      <c r="D34" s="18" t="s">
        <v>145</v>
      </c>
      <c r="E34" s="49">
        <v>50000</v>
      </c>
      <c r="F34" s="49">
        <v>0</v>
      </c>
    </row>
    <row r="35" spans="1:6" ht="12.75" customHeight="1">
      <c r="A35" s="18"/>
      <c r="B35" s="18"/>
      <c r="C35" s="49">
        <v>6610</v>
      </c>
      <c r="D35" s="18" t="s">
        <v>147</v>
      </c>
      <c r="E35" s="49">
        <v>100000</v>
      </c>
      <c r="F35" s="49">
        <v>0</v>
      </c>
    </row>
    <row r="36" spans="1:6" ht="13.5" customHeight="1">
      <c r="A36" s="18"/>
      <c r="B36" s="18"/>
      <c r="C36" s="49">
        <v>6610</v>
      </c>
      <c r="D36" s="18" t="s">
        <v>146</v>
      </c>
      <c r="E36" s="49">
        <v>20000</v>
      </c>
      <c r="F36" s="49">
        <v>0</v>
      </c>
    </row>
    <row r="37" spans="1:6" ht="27" customHeight="1">
      <c r="A37" s="152">
        <v>801</v>
      </c>
      <c r="B37" s="152">
        <v>80146</v>
      </c>
      <c r="C37" s="184">
        <v>2320</v>
      </c>
      <c r="D37" s="189" t="s">
        <v>588</v>
      </c>
      <c r="E37" s="184">
        <f>E39</f>
        <v>0</v>
      </c>
      <c r="F37" s="184">
        <f>F39</f>
        <v>12000</v>
      </c>
    </row>
    <row r="38" spans="1:6" ht="10.5" customHeight="1">
      <c r="A38" s="2"/>
      <c r="B38" s="2"/>
      <c r="C38" s="2"/>
      <c r="D38" s="128" t="s">
        <v>587</v>
      </c>
      <c r="E38" s="2"/>
      <c r="F38" s="2"/>
    </row>
    <row r="39" spans="1:6" ht="15" customHeight="1">
      <c r="A39" s="2"/>
      <c r="B39" s="2"/>
      <c r="C39" s="2">
        <v>2320</v>
      </c>
      <c r="D39" s="14" t="s">
        <v>148</v>
      </c>
      <c r="E39" s="2">
        <v>0</v>
      </c>
      <c r="F39" s="2">
        <f>'Z 2'!Q279</f>
        <v>12000</v>
      </c>
    </row>
    <row r="40" spans="1:6" ht="24" customHeight="1">
      <c r="A40" s="184">
        <v>852</v>
      </c>
      <c r="B40" s="152">
        <v>85201</v>
      </c>
      <c r="C40" s="184">
        <v>2320</v>
      </c>
      <c r="D40" s="194" t="s">
        <v>322</v>
      </c>
      <c r="E40" s="184">
        <f>E42+E43+E44+E45+E50+E51+E52</f>
        <v>206104</v>
      </c>
      <c r="F40" s="184">
        <f>F42+F43+F44+F45</f>
        <v>318191</v>
      </c>
    </row>
    <row r="41" spans="1:6" ht="10.5" customHeight="1">
      <c r="A41" s="2"/>
      <c r="B41" s="2"/>
      <c r="C41" s="2"/>
      <c r="D41" s="129" t="s">
        <v>587</v>
      </c>
      <c r="E41" s="2"/>
      <c r="F41" s="2"/>
    </row>
    <row r="42" spans="1:6" ht="15" customHeight="1">
      <c r="A42" s="2"/>
      <c r="B42" s="2"/>
      <c r="C42" s="2">
        <v>2320</v>
      </c>
      <c r="D42" s="27" t="s">
        <v>73</v>
      </c>
      <c r="E42" s="2">
        <v>3141</v>
      </c>
      <c r="F42" s="2">
        <v>71952</v>
      </c>
    </row>
    <row r="43" spans="1:6" ht="15.75" customHeight="1">
      <c r="A43" s="2"/>
      <c r="B43" s="2"/>
      <c r="C43" s="2">
        <v>2320</v>
      </c>
      <c r="D43" s="27" t="s">
        <v>74</v>
      </c>
      <c r="E43" s="2">
        <v>0</v>
      </c>
      <c r="F43" s="2">
        <v>31944</v>
      </c>
    </row>
    <row r="44" spans="1:6" ht="14.25" customHeight="1">
      <c r="A44" s="2"/>
      <c r="B44" s="2"/>
      <c r="C44" s="2">
        <v>2320</v>
      </c>
      <c r="D44" s="27" t="s">
        <v>75</v>
      </c>
      <c r="E44" s="2">
        <v>0</v>
      </c>
      <c r="F44" s="2">
        <v>94428</v>
      </c>
    </row>
    <row r="45" spans="1:6" ht="15" customHeight="1">
      <c r="A45" s="2"/>
      <c r="B45" s="2"/>
      <c r="C45" s="2">
        <v>2320</v>
      </c>
      <c r="D45" s="14" t="s">
        <v>76</v>
      </c>
      <c r="E45" s="2">
        <v>108247</v>
      </c>
      <c r="F45" s="2">
        <v>119867</v>
      </c>
    </row>
    <row r="46" spans="1:6" ht="25.5" customHeight="1" hidden="1">
      <c r="A46" s="6">
        <v>854</v>
      </c>
      <c r="B46" s="6">
        <v>85417</v>
      </c>
      <c r="C46" s="12">
        <v>2310</v>
      </c>
      <c r="D46" s="3" t="s">
        <v>589</v>
      </c>
      <c r="E46" s="12">
        <v>0</v>
      </c>
      <c r="F46" s="12">
        <f>F48+F49</f>
        <v>0</v>
      </c>
    </row>
    <row r="47" spans="1:6" ht="7.5" customHeight="1" hidden="1">
      <c r="A47" s="7"/>
      <c r="B47" s="7"/>
      <c r="C47" s="2"/>
      <c r="D47" s="119" t="s">
        <v>587</v>
      </c>
      <c r="E47" s="2"/>
      <c r="F47" s="2"/>
    </row>
    <row r="48" spans="1:6" ht="18" customHeight="1" hidden="1">
      <c r="A48" s="7"/>
      <c r="B48" s="7"/>
      <c r="C48" s="2"/>
      <c r="D48" s="50" t="s">
        <v>590</v>
      </c>
      <c r="E48" s="2">
        <v>0</v>
      </c>
      <c r="F48" s="2">
        <v>0</v>
      </c>
    </row>
    <row r="49" spans="1:6" ht="15" customHeight="1" hidden="1">
      <c r="A49" s="7"/>
      <c r="B49" s="7"/>
      <c r="C49" s="2"/>
      <c r="D49" s="50" t="s">
        <v>591</v>
      </c>
      <c r="E49" s="2">
        <v>0</v>
      </c>
      <c r="F49" s="2">
        <v>0</v>
      </c>
    </row>
    <row r="50" spans="1:6" ht="15" customHeight="1">
      <c r="A50" s="7"/>
      <c r="B50" s="7"/>
      <c r="C50" s="2">
        <v>2320</v>
      </c>
      <c r="D50" s="50" t="s">
        <v>78</v>
      </c>
      <c r="E50" s="2">
        <v>40592</v>
      </c>
      <c r="F50" s="2"/>
    </row>
    <row r="51" spans="1:6" ht="15" customHeight="1">
      <c r="A51" s="7"/>
      <c r="B51" s="7"/>
      <c r="C51" s="2">
        <v>2320</v>
      </c>
      <c r="D51" s="50" t="s">
        <v>79</v>
      </c>
      <c r="E51" s="2">
        <v>27062</v>
      </c>
      <c r="F51" s="2"/>
    </row>
    <row r="52" spans="1:6" ht="15" customHeight="1">
      <c r="A52" s="7"/>
      <c r="B52" s="7"/>
      <c r="C52" s="2">
        <v>2320</v>
      </c>
      <c r="D52" s="50" t="s">
        <v>77</v>
      </c>
      <c r="E52" s="2">
        <v>27062</v>
      </c>
      <c r="F52" s="2">
        <v>0</v>
      </c>
    </row>
    <row r="53" spans="1:7" ht="15" customHeight="1">
      <c r="A53" s="154">
        <v>852</v>
      </c>
      <c r="B53" s="154">
        <v>85204</v>
      </c>
      <c r="C53" s="184"/>
      <c r="D53" s="195" t="s">
        <v>586</v>
      </c>
      <c r="E53" s="184">
        <f>E55+E56+E57+E58+E59</f>
        <v>64585</v>
      </c>
      <c r="F53" s="184">
        <f>F55+F56+F57+F58+F59</f>
        <v>29248</v>
      </c>
      <c r="G53" s="32"/>
    </row>
    <row r="54" spans="1:6" ht="11.25" customHeight="1">
      <c r="A54" s="7"/>
      <c r="B54" s="7"/>
      <c r="C54" s="2"/>
      <c r="D54" s="50" t="s">
        <v>587</v>
      </c>
      <c r="E54" s="2"/>
      <c r="F54" s="2"/>
    </row>
    <row r="55" spans="1:6" ht="15" customHeight="1">
      <c r="A55" s="7"/>
      <c r="B55" s="7"/>
      <c r="C55" s="2">
        <v>2310</v>
      </c>
      <c r="D55" s="50" t="s">
        <v>152</v>
      </c>
      <c r="E55" s="2">
        <v>0</v>
      </c>
      <c r="F55" s="2">
        <v>14324</v>
      </c>
    </row>
    <row r="56" spans="1:6" ht="15" customHeight="1">
      <c r="A56" s="7"/>
      <c r="B56" s="7"/>
      <c r="C56" s="2">
        <v>2320</v>
      </c>
      <c r="D56" s="50" t="s">
        <v>288</v>
      </c>
      <c r="E56" s="2">
        <v>0</v>
      </c>
      <c r="F56" s="2">
        <v>659</v>
      </c>
    </row>
    <row r="57" spans="1:6" ht="14.25" customHeight="1">
      <c r="A57" s="7"/>
      <c r="B57" s="7"/>
      <c r="C57" s="2">
        <v>2320</v>
      </c>
      <c r="D57" s="50" t="s">
        <v>153</v>
      </c>
      <c r="E57" s="2">
        <v>23342</v>
      </c>
      <c r="F57" s="2">
        <v>7781</v>
      </c>
    </row>
    <row r="58" spans="1:6" ht="14.25" customHeight="1">
      <c r="A58" s="7"/>
      <c r="B58" s="7"/>
      <c r="C58" s="2">
        <v>2320</v>
      </c>
      <c r="D58" s="50" t="s">
        <v>70</v>
      </c>
      <c r="E58" s="2">
        <v>4284</v>
      </c>
      <c r="F58" s="2">
        <v>0</v>
      </c>
    </row>
    <row r="59" spans="1:6" ht="15" customHeight="1">
      <c r="A59" s="7"/>
      <c r="B59" s="7"/>
      <c r="C59" s="2">
        <v>2320</v>
      </c>
      <c r="D59" s="50" t="s">
        <v>154</v>
      </c>
      <c r="E59" s="2">
        <v>36959</v>
      </c>
      <c r="F59" s="2">
        <v>6484</v>
      </c>
    </row>
    <row r="60" spans="1:6" ht="12" customHeight="1" hidden="1">
      <c r="A60" s="7"/>
      <c r="B60" s="7"/>
      <c r="C60" s="2"/>
      <c r="D60" s="50" t="s">
        <v>592</v>
      </c>
      <c r="E60" s="2">
        <v>0</v>
      </c>
      <c r="F60" s="2">
        <v>0</v>
      </c>
    </row>
    <row r="61" spans="1:6" ht="15" customHeight="1" hidden="1">
      <c r="A61" s="6">
        <v>750</v>
      </c>
      <c r="B61" s="6">
        <v>75018</v>
      </c>
      <c r="C61" s="12">
        <v>2330</v>
      </c>
      <c r="D61" s="51" t="s">
        <v>160</v>
      </c>
      <c r="E61" s="12">
        <v>0</v>
      </c>
      <c r="F61" s="12">
        <f>F63</f>
        <v>0</v>
      </c>
    </row>
    <row r="62" spans="1:6" ht="10.5" customHeight="1" hidden="1">
      <c r="A62" s="16"/>
      <c r="B62" s="16"/>
      <c r="C62" s="49"/>
      <c r="D62" s="130" t="s">
        <v>587</v>
      </c>
      <c r="E62" s="49"/>
      <c r="F62" s="49"/>
    </row>
    <row r="63" spans="1:6" ht="24.75" customHeight="1" hidden="1">
      <c r="A63" s="16"/>
      <c r="B63" s="16"/>
      <c r="C63" s="49"/>
      <c r="D63" s="115" t="s">
        <v>166</v>
      </c>
      <c r="E63" s="49">
        <v>0</v>
      </c>
      <c r="F63" s="49">
        <v>0</v>
      </c>
    </row>
    <row r="64" spans="1:6" ht="24.75" customHeight="1">
      <c r="A64" s="154">
        <v>750</v>
      </c>
      <c r="B64" s="154">
        <v>75018</v>
      </c>
      <c r="C64" s="184">
        <v>2330</v>
      </c>
      <c r="D64" s="195" t="s">
        <v>160</v>
      </c>
      <c r="E64" s="184">
        <f>E66</f>
        <v>0</v>
      </c>
      <c r="F64" s="184">
        <f>F66</f>
        <v>3380</v>
      </c>
    </row>
    <row r="65" spans="1:6" ht="13.5" customHeight="1">
      <c r="A65" s="16"/>
      <c r="B65" s="16"/>
      <c r="C65" s="49"/>
      <c r="D65" s="115" t="s">
        <v>587</v>
      </c>
      <c r="E65" s="49"/>
      <c r="F65" s="49"/>
    </row>
    <row r="66" spans="1:6" ht="22.5" customHeight="1">
      <c r="A66" s="16"/>
      <c r="B66" s="16"/>
      <c r="C66" s="49"/>
      <c r="D66" s="115" t="s">
        <v>156</v>
      </c>
      <c r="E66" s="49">
        <v>0</v>
      </c>
      <c r="F66" s="49">
        <f>'Z 2'!Q99</f>
        <v>3380</v>
      </c>
    </row>
    <row r="67" spans="1:6" ht="21.75" customHeight="1">
      <c r="A67" s="154">
        <v>750</v>
      </c>
      <c r="B67" s="154">
        <v>75020</v>
      </c>
      <c r="C67" s="184">
        <v>2310</v>
      </c>
      <c r="D67" s="195" t="s">
        <v>310</v>
      </c>
      <c r="E67" s="184">
        <f>E69+E70</f>
        <v>0</v>
      </c>
      <c r="F67" s="184">
        <f>F69+F70</f>
        <v>10000</v>
      </c>
    </row>
    <row r="68" spans="1:6" ht="12" customHeight="1">
      <c r="A68" s="16"/>
      <c r="B68" s="16"/>
      <c r="C68" s="49"/>
      <c r="D68" s="115" t="s">
        <v>587</v>
      </c>
      <c r="E68" s="49"/>
      <c r="F68" s="49"/>
    </row>
    <row r="69" spans="1:6" ht="15.75" customHeight="1">
      <c r="A69" s="16"/>
      <c r="B69" s="16"/>
      <c r="C69" s="49">
        <v>2310</v>
      </c>
      <c r="D69" s="115" t="s">
        <v>149</v>
      </c>
      <c r="E69" s="49">
        <v>0</v>
      </c>
      <c r="F69" s="49">
        <v>5000</v>
      </c>
    </row>
    <row r="70" spans="1:6" ht="15.75" customHeight="1">
      <c r="A70" s="16"/>
      <c r="B70" s="16"/>
      <c r="C70" s="49">
        <v>2310</v>
      </c>
      <c r="D70" s="115" t="s">
        <v>71</v>
      </c>
      <c r="E70" s="49">
        <v>0</v>
      </c>
      <c r="F70" s="49">
        <v>5000</v>
      </c>
    </row>
    <row r="71" spans="1:6" ht="24" customHeight="1">
      <c r="A71" s="154">
        <v>750</v>
      </c>
      <c r="B71" s="154">
        <v>75075</v>
      </c>
      <c r="C71" s="184">
        <v>2310</v>
      </c>
      <c r="D71" s="182" t="s">
        <v>509</v>
      </c>
      <c r="E71" s="184">
        <f>E73</f>
        <v>0</v>
      </c>
      <c r="F71" s="184">
        <f>F73</f>
        <v>0</v>
      </c>
    </row>
    <row r="72" spans="1:6" ht="10.5" customHeight="1">
      <c r="A72" s="16"/>
      <c r="B72" s="16"/>
      <c r="C72" s="49"/>
      <c r="D72" s="115" t="s">
        <v>587</v>
      </c>
      <c r="E72" s="49"/>
      <c r="F72" s="49"/>
    </row>
    <row r="73" spans="1:6" ht="15.75" customHeight="1">
      <c r="A73" s="16"/>
      <c r="B73" s="16"/>
      <c r="C73" s="49">
        <v>2310</v>
      </c>
      <c r="D73" s="115"/>
      <c r="E73" s="49">
        <v>0</v>
      </c>
      <c r="F73" s="49">
        <v>0</v>
      </c>
    </row>
    <row r="74" spans="1:6" ht="15.75" customHeight="1">
      <c r="A74" s="154">
        <v>851</v>
      </c>
      <c r="B74" s="154">
        <v>85111</v>
      </c>
      <c r="C74" s="184">
        <v>6619</v>
      </c>
      <c r="D74" s="195" t="s">
        <v>445</v>
      </c>
      <c r="E74" s="184">
        <f>E76+E77+E78+E79</f>
        <v>411588</v>
      </c>
      <c r="F74" s="184">
        <f>F76+F77+F79</f>
        <v>0</v>
      </c>
    </row>
    <row r="75" spans="1:6" ht="12" customHeight="1">
      <c r="A75" s="16"/>
      <c r="B75" s="16"/>
      <c r="C75" s="49"/>
      <c r="D75" s="115" t="s">
        <v>587</v>
      </c>
      <c r="E75" s="49"/>
      <c r="F75" s="49"/>
    </row>
    <row r="76" spans="1:6" ht="15.75" customHeight="1">
      <c r="A76" s="16"/>
      <c r="B76" s="16"/>
      <c r="C76" s="49">
        <v>6619</v>
      </c>
      <c r="D76" s="115" t="s">
        <v>155</v>
      </c>
      <c r="E76" s="49">
        <v>318892</v>
      </c>
      <c r="F76" s="49">
        <v>0</v>
      </c>
    </row>
    <row r="77" spans="1:6" ht="15.75" customHeight="1">
      <c r="A77" s="16"/>
      <c r="B77" s="16"/>
      <c r="C77" s="49">
        <v>6619</v>
      </c>
      <c r="D77" s="115" t="s">
        <v>149</v>
      </c>
      <c r="E77" s="49">
        <v>44690</v>
      </c>
      <c r="F77" s="49">
        <v>0</v>
      </c>
    </row>
    <row r="78" spans="1:6" ht="15.75" customHeight="1">
      <c r="A78" s="16"/>
      <c r="B78" s="16"/>
      <c r="C78" s="49">
        <v>6619</v>
      </c>
      <c r="D78" s="115" t="s">
        <v>72</v>
      </c>
      <c r="E78" s="49">
        <v>18003</v>
      </c>
      <c r="F78" s="49"/>
    </row>
    <row r="79" spans="1:6" ht="15.75" customHeight="1">
      <c r="A79" s="16"/>
      <c r="B79" s="16"/>
      <c r="C79" s="49">
        <v>6619</v>
      </c>
      <c r="D79" s="115" t="s">
        <v>150</v>
      </c>
      <c r="E79" s="49">
        <v>30003</v>
      </c>
      <c r="F79" s="49">
        <v>0</v>
      </c>
    </row>
    <row r="80" spans="1:6" ht="15.75" customHeight="1">
      <c r="A80" s="154">
        <v>854</v>
      </c>
      <c r="B80" s="154">
        <v>85417</v>
      </c>
      <c r="C80" s="184">
        <v>2310</v>
      </c>
      <c r="D80" s="195" t="s">
        <v>157</v>
      </c>
      <c r="E80" s="184">
        <f>E82</f>
        <v>0</v>
      </c>
      <c r="F80" s="184">
        <f>F82</f>
        <v>1500</v>
      </c>
    </row>
    <row r="81" spans="1:6" ht="13.5" customHeight="1">
      <c r="A81" s="16"/>
      <c r="B81" s="16"/>
      <c r="C81" s="49"/>
      <c r="D81" s="115" t="s">
        <v>587</v>
      </c>
      <c r="E81" s="49"/>
      <c r="F81" s="49"/>
    </row>
    <row r="82" spans="1:6" ht="15.75" customHeight="1">
      <c r="A82" s="16"/>
      <c r="B82" s="16"/>
      <c r="C82" s="49">
        <v>2310</v>
      </c>
      <c r="D82" s="115" t="s">
        <v>150</v>
      </c>
      <c r="E82" s="49">
        <v>0</v>
      </c>
      <c r="F82" s="49">
        <f>'Z 2'!Q483</f>
        <v>1500</v>
      </c>
    </row>
    <row r="83" spans="1:6" ht="27.75" customHeight="1">
      <c r="A83" s="154">
        <v>921</v>
      </c>
      <c r="B83" s="154">
        <v>92116</v>
      </c>
      <c r="C83" s="184">
        <v>2310</v>
      </c>
      <c r="D83" s="195" t="s">
        <v>593</v>
      </c>
      <c r="E83" s="184">
        <v>0</v>
      </c>
      <c r="F83" s="184">
        <f>F85</f>
        <v>33000</v>
      </c>
    </row>
    <row r="84" spans="1:6" ht="11.25" customHeight="1">
      <c r="A84" s="7"/>
      <c r="B84" s="7"/>
      <c r="C84" s="2"/>
      <c r="D84" s="131" t="s">
        <v>587</v>
      </c>
      <c r="E84" s="2"/>
      <c r="F84" s="2"/>
    </row>
    <row r="85" spans="1:6" ht="15" customHeight="1" thickBot="1">
      <c r="A85" s="7"/>
      <c r="B85" s="7"/>
      <c r="C85" s="2">
        <v>2310</v>
      </c>
      <c r="D85" s="50" t="s">
        <v>151</v>
      </c>
      <c r="E85" s="2">
        <v>0</v>
      </c>
      <c r="F85" s="2">
        <f>'Z 2'!Q491</f>
        <v>33000</v>
      </c>
    </row>
    <row r="86" spans="1:6" ht="15" customHeight="1" hidden="1">
      <c r="A86" s="6">
        <v>921</v>
      </c>
      <c r="B86" s="6">
        <v>92195</v>
      </c>
      <c r="C86" s="12">
        <v>2310</v>
      </c>
      <c r="D86" s="51" t="s">
        <v>315</v>
      </c>
      <c r="E86" s="12">
        <f>E88</f>
        <v>0</v>
      </c>
      <c r="F86" s="12">
        <f>F88</f>
        <v>0</v>
      </c>
    </row>
    <row r="87" spans="1:6" ht="10.5" customHeight="1" hidden="1">
      <c r="A87" s="7"/>
      <c r="B87" s="7"/>
      <c r="C87" s="2"/>
      <c r="D87" s="130" t="s">
        <v>587</v>
      </c>
      <c r="E87" s="2"/>
      <c r="F87" s="2"/>
    </row>
    <row r="88" spans="1:6" ht="15" customHeight="1" hidden="1">
      <c r="A88" s="63"/>
      <c r="B88" s="63"/>
      <c r="C88" s="39"/>
      <c r="D88" s="406" t="s">
        <v>189</v>
      </c>
      <c r="E88" s="39">
        <v>0</v>
      </c>
      <c r="F88" s="39">
        <v>0</v>
      </c>
    </row>
    <row r="89" spans="1:7" ht="14.25" customHeight="1" thickBot="1">
      <c r="A89" s="407"/>
      <c r="B89" s="408"/>
      <c r="C89" s="409"/>
      <c r="D89" s="410" t="s">
        <v>42</v>
      </c>
      <c r="E89" s="409">
        <f>E6+E21</f>
        <v>1666498</v>
      </c>
      <c r="F89" s="411">
        <f>F6+F21</f>
        <v>409019</v>
      </c>
      <c r="G89" s="89"/>
    </row>
    <row r="90" ht="10.5" customHeight="1" hidden="1"/>
    <row r="91" spans="1:6" ht="15" customHeight="1">
      <c r="A91" s="637" t="s">
        <v>11</v>
      </c>
      <c r="B91" s="637"/>
      <c r="C91" s="637"/>
      <c r="D91" s="637"/>
      <c r="E91" s="637"/>
      <c r="F91" s="637"/>
    </row>
    <row r="92" spans="1:6" ht="15" customHeight="1">
      <c r="A92" s="405"/>
      <c r="B92" s="405"/>
      <c r="C92" s="405"/>
      <c r="D92" s="405" t="s">
        <v>12</v>
      </c>
      <c r="E92" s="405"/>
      <c r="F92" s="405"/>
    </row>
    <row r="93" spans="1:6" ht="13.5" customHeight="1">
      <c r="A93" s="83"/>
      <c r="B93" s="83"/>
      <c r="C93" s="83"/>
      <c r="D93" s="83"/>
      <c r="E93" s="83"/>
      <c r="F93" s="83"/>
    </row>
    <row r="94" spans="1:6" ht="14.25" customHeight="1">
      <c r="A94" s="83"/>
      <c r="B94" s="83"/>
      <c r="C94" s="83"/>
      <c r="D94" s="83"/>
      <c r="E94" s="83"/>
      <c r="F94" s="83"/>
    </row>
    <row r="95" spans="1:6" ht="11.25" customHeight="1">
      <c r="A95" s="83"/>
      <c r="B95" s="83"/>
      <c r="C95" s="83"/>
      <c r="D95" s="83"/>
      <c r="E95" s="83"/>
      <c r="F95" s="83"/>
    </row>
    <row r="96" spans="1:6" ht="12.75" customHeight="1">
      <c r="A96" s="83"/>
      <c r="B96" s="83"/>
      <c r="C96" s="83"/>
      <c r="D96" s="83"/>
      <c r="E96" s="83"/>
      <c r="F96" s="83"/>
    </row>
    <row r="97" spans="1:6" ht="13.5" customHeight="1">
      <c r="A97" s="83"/>
      <c r="B97" s="83"/>
      <c r="C97" s="83"/>
      <c r="D97" s="83"/>
      <c r="E97" s="83"/>
      <c r="F97" s="83"/>
    </row>
    <row r="98" spans="1:6" ht="12.75" customHeight="1">
      <c r="A98" s="83"/>
      <c r="B98" s="83"/>
      <c r="C98" s="83"/>
      <c r="D98" s="83"/>
      <c r="E98" s="83"/>
      <c r="F98" s="83"/>
    </row>
    <row r="99" spans="1:6" ht="18" customHeight="1">
      <c r="A99" s="638"/>
      <c r="B99" s="639"/>
      <c r="C99" s="639"/>
      <c r="D99" s="639"/>
      <c r="E99" s="639"/>
      <c r="F99" s="639"/>
    </row>
    <row r="100" spans="1:6" ht="14.25" customHeight="1">
      <c r="A100" s="83"/>
      <c r="B100" s="83"/>
      <c r="C100" s="83"/>
      <c r="D100" s="83"/>
      <c r="E100" s="83"/>
      <c r="F100" s="83"/>
    </row>
    <row r="101" spans="1:6" ht="14.25" customHeight="1">
      <c r="A101" s="83"/>
      <c r="B101" s="83"/>
      <c r="C101" s="83"/>
      <c r="D101" s="83"/>
      <c r="E101" s="83"/>
      <c r="F101" s="83"/>
    </row>
    <row r="102" spans="1:6" ht="15" customHeight="1">
      <c r="A102" s="32"/>
      <c r="B102" s="83"/>
      <c r="C102" s="83"/>
      <c r="D102" s="83"/>
      <c r="E102" s="83"/>
      <c r="F102" s="83"/>
    </row>
    <row r="103" spans="1:6" ht="13.5" customHeight="1">
      <c r="A103" s="83"/>
      <c r="B103" s="83"/>
      <c r="C103" s="83"/>
      <c r="D103" s="83"/>
      <c r="E103" s="83"/>
      <c r="F103" s="83"/>
    </row>
    <row r="104" spans="1:6" ht="15.75" customHeight="1">
      <c r="A104" s="83"/>
      <c r="B104" s="83"/>
      <c r="C104" s="83"/>
      <c r="D104" s="83"/>
      <c r="E104" s="83"/>
      <c r="F104" s="83"/>
    </row>
    <row r="105" spans="1:6" ht="15.75" customHeight="1">
      <c r="A105" s="83"/>
      <c r="B105" s="83"/>
      <c r="C105" s="83"/>
      <c r="D105" s="83"/>
      <c r="E105" s="83"/>
      <c r="F105" s="83"/>
    </row>
    <row r="106" spans="1:6" ht="15" customHeight="1">
      <c r="A106" s="83"/>
      <c r="B106" s="83"/>
      <c r="C106" s="83"/>
      <c r="D106" s="83"/>
      <c r="E106" s="83"/>
      <c r="F106" s="83"/>
    </row>
    <row r="107" spans="1:6" ht="24.75" customHeight="1">
      <c r="A107" s="640"/>
      <c r="B107" s="640"/>
      <c r="C107" s="640"/>
      <c r="D107" s="640"/>
      <c r="E107" s="640"/>
      <c r="F107" s="640"/>
    </row>
    <row r="108" spans="1:6" ht="54.75" customHeight="1">
      <c r="A108" s="640"/>
      <c r="B108" s="640"/>
      <c r="C108" s="640"/>
      <c r="D108" s="640"/>
      <c r="E108" s="640"/>
      <c r="F108" s="640"/>
    </row>
    <row r="109" spans="1:6" ht="18" customHeight="1" hidden="1">
      <c r="A109" s="83"/>
      <c r="B109" s="83"/>
      <c r="C109" s="83"/>
      <c r="D109" s="83"/>
      <c r="E109" s="83"/>
      <c r="F109" s="83"/>
    </row>
    <row r="110" spans="1:6" ht="15.75" customHeight="1" hidden="1">
      <c r="A110" s="83"/>
      <c r="B110" s="83"/>
      <c r="C110" s="83"/>
      <c r="D110" s="83"/>
      <c r="E110" s="83"/>
      <c r="F110" s="83"/>
    </row>
    <row r="111" spans="1:6" ht="12.75">
      <c r="A111" s="83"/>
      <c r="B111" s="83"/>
      <c r="C111" s="83"/>
      <c r="D111" s="83"/>
      <c r="E111" s="83"/>
      <c r="F111" s="83"/>
    </row>
    <row r="112" spans="1:6" ht="47.25" customHeight="1">
      <c r="A112" s="642"/>
      <c r="B112" s="642"/>
      <c r="C112" s="642"/>
      <c r="D112" s="642"/>
      <c r="E112" s="642"/>
      <c r="F112" s="642"/>
    </row>
    <row r="113" spans="1:6" ht="26.25" customHeight="1">
      <c r="A113" s="640"/>
      <c r="B113" s="640"/>
      <c r="C113" s="640"/>
      <c r="D113" s="640"/>
      <c r="E113" s="640"/>
      <c r="F113" s="640"/>
    </row>
    <row r="114" spans="1:6" ht="16.5" customHeight="1">
      <c r="A114" s="32"/>
      <c r="B114" s="83"/>
      <c r="C114" s="83"/>
      <c r="D114" s="83"/>
      <c r="E114" s="83"/>
      <c r="F114" s="83"/>
    </row>
    <row r="115" spans="1:6" ht="15" customHeight="1">
      <c r="A115" s="640"/>
      <c r="B115" s="640"/>
      <c r="C115" s="640"/>
      <c r="D115" s="640"/>
      <c r="E115" s="640"/>
      <c r="F115" s="640"/>
    </row>
    <row r="116" spans="1:6" ht="37.5" customHeight="1">
      <c r="A116" s="640"/>
      <c r="B116" s="640"/>
      <c r="C116" s="640"/>
      <c r="D116" s="640"/>
      <c r="E116" s="640"/>
      <c r="F116" s="640"/>
    </row>
    <row r="117" spans="1:6" ht="27.75" customHeight="1">
      <c r="A117" s="640"/>
      <c r="B117" s="640"/>
      <c r="C117" s="640"/>
      <c r="D117" s="640"/>
      <c r="E117" s="640"/>
      <c r="F117" s="640"/>
    </row>
    <row r="118" spans="1:6" ht="27.75" customHeight="1">
      <c r="A118" s="640"/>
      <c r="B118" s="640"/>
      <c r="C118" s="640"/>
      <c r="D118" s="640"/>
      <c r="E118" s="640"/>
      <c r="F118" s="640"/>
    </row>
    <row r="119" spans="1:6" ht="12.75">
      <c r="A119" s="638"/>
      <c r="B119" s="639"/>
      <c r="C119" s="639"/>
      <c r="D119" s="639"/>
      <c r="E119" s="639"/>
      <c r="F119" s="639"/>
    </row>
    <row r="120" spans="1:6" ht="12.75">
      <c r="A120" s="83"/>
      <c r="B120" s="83"/>
      <c r="C120" s="83"/>
      <c r="D120" s="83"/>
      <c r="E120" s="83"/>
      <c r="F120" s="83"/>
    </row>
    <row r="121" spans="1:6" ht="12.75">
      <c r="A121" s="83"/>
      <c r="B121" s="83"/>
      <c r="C121" s="83"/>
      <c r="D121" s="83"/>
      <c r="E121" s="83"/>
      <c r="F121" s="83"/>
    </row>
    <row r="122" spans="1:6" ht="12.75">
      <c r="A122" s="83"/>
      <c r="B122" s="83"/>
      <c r="C122" s="83"/>
      <c r="D122" s="83"/>
      <c r="E122" s="83"/>
      <c r="F122" s="83"/>
    </row>
    <row r="123" spans="1:6" ht="12.75">
      <c r="A123" s="83"/>
      <c r="B123" s="83"/>
      <c r="C123" s="83"/>
      <c r="D123" s="83"/>
      <c r="E123" s="83"/>
      <c r="F123" s="83"/>
    </row>
    <row r="124" spans="1:6" ht="29.25" customHeight="1">
      <c r="A124" s="83"/>
      <c r="B124" s="83"/>
      <c r="C124" s="83"/>
      <c r="D124" s="641"/>
      <c r="E124" s="641"/>
      <c r="F124" s="641"/>
    </row>
  </sheetData>
  <mergeCells count="18">
    <mergeCell ref="D124:F124"/>
    <mergeCell ref="A119:F119"/>
    <mergeCell ref="A115:F115"/>
    <mergeCell ref="A112:F112"/>
    <mergeCell ref="A113:F113"/>
    <mergeCell ref="A117:F117"/>
    <mergeCell ref="A118:F118"/>
    <mergeCell ref="A116:F116"/>
    <mergeCell ref="A91:F91"/>
    <mergeCell ref="A99:F99"/>
    <mergeCell ref="A108:F108"/>
    <mergeCell ref="A107:F107"/>
    <mergeCell ref="D3:D4"/>
    <mergeCell ref="E3:E4"/>
    <mergeCell ref="F3:F4"/>
    <mergeCell ref="C1:F1"/>
    <mergeCell ref="A2:F2"/>
    <mergeCell ref="A3:C3"/>
  </mergeCells>
  <printOptions/>
  <pageMargins left="0.7874015748031497" right="0.7874015748031497" top="0.3937007874015748" bottom="0.7874015748031497" header="0.5118110236220472" footer="0.5118110236220472"/>
  <pageSetup horizontalDpi="360" verticalDpi="360" orientation="portrait" paperSize="9" scale="94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D1">
      <selection activeCell="N8" sqref="N8"/>
    </sheetView>
  </sheetViews>
  <sheetFormatPr defaultColWidth="9.00390625" defaultRowHeight="12.75"/>
  <cols>
    <col min="1" max="1" width="3.75390625" style="0" customWidth="1"/>
    <col min="2" max="2" width="6.375" style="0" customWidth="1"/>
    <col min="3" max="3" width="25.00390625" style="0" customWidth="1"/>
    <col min="4" max="4" width="11.375" style="0" customWidth="1"/>
    <col min="5" max="5" width="10.375" style="0" customWidth="1"/>
    <col min="6" max="6" width="11.625" style="0" customWidth="1"/>
    <col min="7" max="7" width="9.625" style="0" customWidth="1"/>
    <col min="8" max="8" width="10.125" style="0" hidden="1" customWidth="1"/>
    <col min="9" max="9" width="8.625" style="0" customWidth="1"/>
    <col min="10" max="10" width="10.25390625" style="0" customWidth="1"/>
    <col min="11" max="11" width="10.00390625" style="0" customWidth="1"/>
    <col min="12" max="13" width="9.875" style="0" customWidth="1"/>
    <col min="14" max="14" width="16.25390625" style="0" customWidth="1"/>
  </cols>
  <sheetData>
    <row r="1" spans="4:14" ht="17.25" customHeight="1">
      <c r="D1" s="81"/>
      <c r="E1" s="81"/>
      <c r="I1" s="648" t="s">
        <v>774</v>
      </c>
      <c r="J1" s="648"/>
      <c r="K1" s="648"/>
      <c r="L1" s="648"/>
      <c r="M1" s="648"/>
      <c r="N1" s="648"/>
    </row>
    <row r="2" spans="1:14" ht="27" customHeight="1">
      <c r="A2" s="653" t="s">
        <v>22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</row>
    <row r="3" spans="1:14" ht="13.5" customHeight="1">
      <c r="A3" s="645" t="s">
        <v>547</v>
      </c>
      <c r="B3" s="645" t="s">
        <v>548</v>
      </c>
      <c r="C3" s="644" t="s">
        <v>694</v>
      </c>
      <c r="D3" s="644" t="s">
        <v>19</v>
      </c>
      <c r="E3" s="646" t="s">
        <v>669</v>
      </c>
      <c r="F3" s="654" t="s">
        <v>695</v>
      </c>
      <c r="G3" s="654"/>
      <c r="H3" s="654"/>
      <c r="I3" s="654"/>
      <c r="J3" s="654"/>
      <c r="K3" s="654"/>
      <c r="L3" s="654"/>
      <c r="M3" s="654"/>
      <c r="N3" s="652" t="s">
        <v>696</v>
      </c>
    </row>
    <row r="4" spans="1:14" ht="12.75" customHeight="1">
      <c r="A4" s="645"/>
      <c r="B4" s="645"/>
      <c r="C4" s="644"/>
      <c r="D4" s="644"/>
      <c r="E4" s="655"/>
      <c r="F4" s="646" t="s">
        <v>23</v>
      </c>
      <c r="G4" s="654" t="s">
        <v>697</v>
      </c>
      <c r="H4" s="654"/>
      <c r="I4" s="654"/>
      <c r="J4" s="654"/>
      <c r="K4" s="329"/>
      <c r="L4" s="645" t="s">
        <v>195</v>
      </c>
      <c r="M4" s="645" t="s">
        <v>25</v>
      </c>
      <c r="N4" s="652"/>
    </row>
    <row r="5" spans="1:14" ht="43.5" customHeight="1">
      <c r="A5" s="645"/>
      <c r="B5" s="645"/>
      <c r="C5" s="644"/>
      <c r="D5" s="644"/>
      <c r="E5" s="647"/>
      <c r="F5" s="647"/>
      <c r="G5" s="308" t="s">
        <v>698</v>
      </c>
      <c r="H5" s="308" t="s">
        <v>699</v>
      </c>
      <c r="I5" s="308" t="s">
        <v>437</v>
      </c>
      <c r="J5" s="308" t="s">
        <v>24</v>
      </c>
      <c r="K5" s="308" t="s">
        <v>28</v>
      </c>
      <c r="L5" s="645"/>
      <c r="M5" s="645"/>
      <c r="N5" s="652"/>
    </row>
    <row r="6" spans="1:14" ht="10.5" customHeight="1">
      <c r="A6" s="329">
        <v>1</v>
      </c>
      <c r="B6" s="329">
        <v>2</v>
      </c>
      <c r="C6" s="329">
        <v>4</v>
      </c>
      <c r="D6" s="329">
        <v>5</v>
      </c>
      <c r="E6" s="329">
        <v>6</v>
      </c>
      <c r="F6" s="329">
        <v>7</v>
      </c>
      <c r="G6" s="329">
        <v>8</v>
      </c>
      <c r="H6" s="329">
        <v>8</v>
      </c>
      <c r="I6" s="329">
        <v>9</v>
      </c>
      <c r="J6" s="329">
        <v>10</v>
      </c>
      <c r="K6" s="329">
        <v>11</v>
      </c>
      <c r="L6" s="329">
        <v>12</v>
      </c>
      <c r="M6" s="330">
        <v>13</v>
      </c>
      <c r="N6" s="329">
        <v>14</v>
      </c>
    </row>
    <row r="7" spans="1:14" ht="47.25" customHeight="1" hidden="1">
      <c r="A7" s="122">
        <v>600</v>
      </c>
      <c r="B7" s="122">
        <v>60014</v>
      </c>
      <c r="C7" s="121" t="s">
        <v>700</v>
      </c>
      <c r="D7" s="82">
        <f>F7+L7+M7</f>
        <v>0</v>
      </c>
      <c r="E7" s="82"/>
      <c r="F7" s="82">
        <f>G7+H7+J7+I7</f>
        <v>0</v>
      </c>
      <c r="G7" s="82"/>
      <c r="H7" s="82"/>
      <c r="I7" s="82"/>
      <c r="J7" s="82"/>
      <c r="K7" s="82"/>
      <c r="L7" s="82"/>
      <c r="M7" s="82"/>
      <c r="N7" s="123" t="s">
        <v>692</v>
      </c>
    </row>
    <row r="8" spans="1:14" ht="25.5" customHeight="1">
      <c r="A8" s="199">
        <v>600</v>
      </c>
      <c r="B8" s="199">
        <v>60014</v>
      </c>
      <c r="C8" s="326" t="s">
        <v>467</v>
      </c>
      <c r="D8" s="261">
        <f>E8+F8+L8+M8</f>
        <v>1313546</v>
      </c>
      <c r="E8" s="261">
        <v>578918</v>
      </c>
      <c r="F8" s="261">
        <f aca="true" t="shared" si="0" ref="F8:F24">G8+H8+J8+I8+K8</f>
        <v>734628</v>
      </c>
      <c r="G8" s="261">
        <v>50000</v>
      </c>
      <c r="H8" s="261">
        <v>0</v>
      </c>
      <c r="I8" s="261">
        <v>88500</v>
      </c>
      <c r="J8" s="261">
        <v>75157</v>
      </c>
      <c r="K8" s="261">
        <v>520971</v>
      </c>
      <c r="L8" s="261">
        <v>0</v>
      </c>
      <c r="M8" s="261">
        <v>0</v>
      </c>
      <c r="N8" s="326" t="s">
        <v>347</v>
      </c>
    </row>
    <row r="9" spans="1:14" ht="27" customHeight="1">
      <c r="A9" s="199">
        <v>600</v>
      </c>
      <c r="B9" s="199">
        <v>60014</v>
      </c>
      <c r="C9" s="326" t="s">
        <v>466</v>
      </c>
      <c r="D9" s="261">
        <f aca="true" t="shared" si="1" ref="D9:D25">E9+F9+L9+M9</f>
        <v>6429013</v>
      </c>
      <c r="E9" s="261">
        <v>1971733</v>
      </c>
      <c r="F9" s="261">
        <f t="shared" si="0"/>
        <v>2084025</v>
      </c>
      <c r="G9" s="261">
        <v>147979</v>
      </c>
      <c r="H9" s="261">
        <v>0</v>
      </c>
      <c r="I9" s="261">
        <v>294500</v>
      </c>
      <c r="J9" s="261">
        <v>174512</v>
      </c>
      <c r="K9" s="261">
        <v>1467034</v>
      </c>
      <c r="L9" s="261">
        <v>2373255</v>
      </c>
      <c r="M9" s="261">
        <v>0</v>
      </c>
      <c r="N9" s="326" t="s">
        <v>346</v>
      </c>
    </row>
    <row r="10" spans="1:14" ht="26.25" customHeight="1">
      <c r="A10" s="199">
        <v>600</v>
      </c>
      <c r="B10" s="199">
        <v>60014</v>
      </c>
      <c r="C10" s="326" t="s">
        <v>290</v>
      </c>
      <c r="D10" s="261">
        <f t="shared" si="1"/>
        <v>120000</v>
      </c>
      <c r="E10" s="261">
        <v>0</v>
      </c>
      <c r="F10" s="261">
        <f t="shared" si="0"/>
        <v>120000</v>
      </c>
      <c r="G10" s="261">
        <v>60000</v>
      </c>
      <c r="H10" s="261"/>
      <c r="I10" s="261"/>
      <c r="J10" s="261">
        <v>60000</v>
      </c>
      <c r="K10" s="261"/>
      <c r="L10" s="261"/>
      <c r="M10" s="261"/>
      <c r="N10" s="326" t="s">
        <v>345</v>
      </c>
    </row>
    <row r="11" spans="1:14" ht="18.75" customHeight="1">
      <c r="A11" s="199">
        <v>600</v>
      </c>
      <c r="B11" s="199">
        <v>60014</v>
      </c>
      <c r="C11" s="326" t="s">
        <v>27</v>
      </c>
      <c r="D11" s="261">
        <f t="shared" si="1"/>
        <v>100000</v>
      </c>
      <c r="E11" s="261">
        <v>0</v>
      </c>
      <c r="F11" s="261">
        <f t="shared" si="0"/>
        <v>100000</v>
      </c>
      <c r="G11" s="261">
        <v>100000</v>
      </c>
      <c r="H11" s="261"/>
      <c r="I11" s="261">
        <v>0</v>
      </c>
      <c r="J11" s="261">
        <v>0</v>
      </c>
      <c r="K11" s="261">
        <v>0</v>
      </c>
      <c r="L11" s="261">
        <v>0</v>
      </c>
      <c r="M11" s="261">
        <v>0</v>
      </c>
      <c r="N11" s="326" t="s">
        <v>344</v>
      </c>
    </row>
    <row r="12" spans="1:14" ht="17.25" customHeight="1">
      <c r="A12" s="199">
        <v>600</v>
      </c>
      <c r="B12" s="199">
        <v>60014</v>
      </c>
      <c r="C12" s="326" t="s">
        <v>291</v>
      </c>
      <c r="D12" s="261">
        <f t="shared" si="1"/>
        <v>10000</v>
      </c>
      <c r="E12" s="261"/>
      <c r="F12" s="261">
        <f t="shared" si="0"/>
        <v>10000</v>
      </c>
      <c r="G12" s="261">
        <v>10000</v>
      </c>
      <c r="H12" s="261"/>
      <c r="I12" s="261"/>
      <c r="J12" s="261"/>
      <c r="K12" s="261"/>
      <c r="L12" s="261"/>
      <c r="M12" s="261"/>
      <c r="N12" s="326" t="s">
        <v>344</v>
      </c>
    </row>
    <row r="13" spans="1:14" ht="17.25" customHeight="1">
      <c r="A13" s="199">
        <v>600</v>
      </c>
      <c r="B13" s="199">
        <v>60014</v>
      </c>
      <c r="C13" s="326" t="s">
        <v>29</v>
      </c>
      <c r="D13" s="261">
        <f t="shared" si="1"/>
        <v>16000</v>
      </c>
      <c r="E13" s="261">
        <v>0</v>
      </c>
      <c r="F13" s="261">
        <f t="shared" si="0"/>
        <v>16000</v>
      </c>
      <c r="G13" s="261">
        <v>16000</v>
      </c>
      <c r="H13" s="261"/>
      <c r="I13" s="261"/>
      <c r="J13" s="261"/>
      <c r="K13" s="261"/>
      <c r="L13" s="261"/>
      <c r="M13" s="261"/>
      <c r="N13" s="326" t="s">
        <v>344</v>
      </c>
    </row>
    <row r="14" spans="1:14" ht="24.75" customHeight="1">
      <c r="A14" s="199">
        <v>754</v>
      </c>
      <c r="B14" s="199">
        <v>75411</v>
      </c>
      <c r="C14" s="326" t="s">
        <v>767</v>
      </c>
      <c r="D14" s="261">
        <f t="shared" si="1"/>
        <v>30000</v>
      </c>
      <c r="E14" s="261"/>
      <c r="F14" s="261">
        <f t="shared" si="0"/>
        <v>30000</v>
      </c>
      <c r="G14" s="261">
        <v>10000</v>
      </c>
      <c r="H14" s="261"/>
      <c r="I14" s="261"/>
      <c r="J14" s="261">
        <v>20000</v>
      </c>
      <c r="K14" s="261"/>
      <c r="L14" s="261"/>
      <c r="M14" s="261"/>
      <c r="N14" s="326" t="s">
        <v>343</v>
      </c>
    </row>
    <row r="15" spans="1:14" ht="24" customHeight="1">
      <c r="A15" s="199">
        <v>801</v>
      </c>
      <c r="B15" s="199">
        <v>80111</v>
      </c>
      <c r="C15" s="328" t="s">
        <v>348</v>
      </c>
      <c r="D15" s="261">
        <f t="shared" si="1"/>
        <v>239251</v>
      </c>
      <c r="E15" s="261">
        <v>2500</v>
      </c>
      <c r="F15" s="261">
        <f t="shared" si="0"/>
        <v>236751</v>
      </c>
      <c r="G15" s="261"/>
      <c r="H15" s="261"/>
      <c r="I15" s="261"/>
      <c r="J15" s="261">
        <v>236751</v>
      </c>
      <c r="K15" s="261"/>
      <c r="L15" s="261"/>
      <c r="M15" s="261"/>
      <c r="N15" s="326" t="s">
        <v>668</v>
      </c>
    </row>
    <row r="16" spans="1:15" ht="22.5" customHeight="1">
      <c r="A16" s="120">
        <v>851</v>
      </c>
      <c r="B16" s="120">
        <v>85111</v>
      </c>
      <c r="C16" s="328" t="s">
        <v>577</v>
      </c>
      <c r="D16" s="261">
        <f t="shared" si="1"/>
        <v>6980000</v>
      </c>
      <c r="E16" s="261">
        <v>101860</v>
      </c>
      <c r="F16" s="261">
        <f t="shared" si="0"/>
        <v>2674262</v>
      </c>
      <c r="G16" s="262">
        <v>523500</v>
      </c>
      <c r="H16" s="262">
        <v>0</v>
      </c>
      <c r="I16" s="262">
        <v>0</v>
      </c>
      <c r="J16" s="262">
        <v>349000</v>
      </c>
      <c r="K16" s="262">
        <v>1801762</v>
      </c>
      <c r="L16" s="262">
        <v>3096542</v>
      </c>
      <c r="M16" s="262">
        <v>1107336</v>
      </c>
      <c r="N16" s="327" t="s">
        <v>342</v>
      </c>
      <c r="O16" s="114"/>
    </row>
    <row r="17" spans="1:15" ht="21" customHeight="1">
      <c r="A17" s="120">
        <v>851</v>
      </c>
      <c r="B17" s="120">
        <v>85111</v>
      </c>
      <c r="C17" s="328" t="s">
        <v>63</v>
      </c>
      <c r="D17" s="261">
        <f t="shared" si="1"/>
        <v>49676</v>
      </c>
      <c r="E17" s="261">
        <v>0</v>
      </c>
      <c r="F17" s="261">
        <f t="shared" si="0"/>
        <v>49676</v>
      </c>
      <c r="G17" s="262">
        <v>49676</v>
      </c>
      <c r="H17" s="262"/>
      <c r="I17" s="262">
        <v>0</v>
      </c>
      <c r="J17" s="262">
        <v>0</v>
      </c>
      <c r="K17" s="262">
        <v>0</v>
      </c>
      <c r="L17" s="262">
        <v>0</v>
      </c>
      <c r="M17" s="262">
        <v>0</v>
      </c>
      <c r="N17" s="327" t="s">
        <v>341</v>
      </c>
      <c r="O17" s="114"/>
    </row>
    <row r="18" spans="1:15" ht="26.25" customHeight="1">
      <c r="A18" s="120">
        <v>852</v>
      </c>
      <c r="B18" s="120">
        <v>85202</v>
      </c>
      <c r="C18" s="328" t="s">
        <v>18</v>
      </c>
      <c r="D18" s="261">
        <f t="shared" si="1"/>
        <v>112413</v>
      </c>
      <c r="E18" s="262">
        <v>0</v>
      </c>
      <c r="F18" s="262">
        <f t="shared" si="0"/>
        <v>112413</v>
      </c>
      <c r="G18" s="262">
        <v>58413</v>
      </c>
      <c r="H18" s="262"/>
      <c r="I18" s="262">
        <v>0</v>
      </c>
      <c r="J18" s="262">
        <v>54000</v>
      </c>
      <c r="K18" s="262">
        <v>0</v>
      </c>
      <c r="L18" s="262">
        <v>0</v>
      </c>
      <c r="M18" s="262">
        <v>0</v>
      </c>
      <c r="N18" s="327" t="s">
        <v>31</v>
      </c>
      <c r="O18" s="114"/>
    </row>
    <row r="19" spans="1:15" ht="17.25" customHeight="1">
      <c r="A19" s="120">
        <v>853</v>
      </c>
      <c r="B19" s="120">
        <v>85333</v>
      </c>
      <c r="C19" s="328" t="s">
        <v>292</v>
      </c>
      <c r="D19" s="261">
        <f t="shared" si="1"/>
        <v>25000</v>
      </c>
      <c r="E19" s="261">
        <v>0</v>
      </c>
      <c r="F19" s="262">
        <f t="shared" si="0"/>
        <v>25000</v>
      </c>
      <c r="G19" s="262">
        <v>25000</v>
      </c>
      <c r="H19" s="262"/>
      <c r="I19" s="262">
        <v>0</v>
      </c>
      <c r="J19" s="262">
        <v>0</v>
      </c>
      <c r="K19" s="262">
        <v>0</v>
      </c>
      <c r="L19" s="262">
        <v>0</v>
      </c>
      <c r="M19" s="262">
        <v>0</v>
      </c>
      <c r="N19" s="327" t="s">
        <v>340</v>
      </c>
      <c r="O19" s="114"/>
    </row>
    <row r="20" spans="1:15" ht="24" customHeight="1">
      <c r="A20" s="120">
        <v>854</v>
      </c>
      <c r="B20" s="120">
        <v>85403</v>
      </c>
      <c r="C20" s="328" t="s">
        <v>293</v>
      </c>
      <c r="D20" s="261">
        <f t="shared" si="1"/>
        <v>188252</v>
      </c>
      <c r="E20" s="261"/>
      <c r="F20" s="262">
        <f t="shared" si="0"/>
        <v>188252</v>
      </c>
      <c r="G20" s="262">
        <v>18825</v>
      </c>
      <c r="H20" s="262"/>
      <c r="I20" s="262"/>
      <c r="J20" s="262">
        <v>169427</v>
      </c>
      <c r="K20" s="262"/>
      <c r="L20" s="262"/>
      <c r="M20" s="262"/>
      <c r="N20" s="326" t="s">
        <v>668</v>
      </c>
      <c r="O20" s="114"/>
    </row>
    <row r="21" spans="1:15" ht="26.25" customHeight="1">
      <c r="A21" s="120">
        <v>854</v>
      </c>
      <c r="B21" s="120">
        <v>85403</v>
      </c>
      <c r="C21" s="328" t="s">
        <v>328</v>
      </c>
      <c r="D21" s="261">
        <f t="shared" si="1"/>
        <v>199940</v>
      </c>
      <c r="E21" s="261">
        <v>20994</v>
      </c>
      <c r="F21" s="262">
        <f t="shared" si="0"/>
        <v>178946</v>
      </c>
      <c r="G21" s="262">
        <v>2018</v>
      </c>
      <c r="H21" s="262"/>
      <c r="I21" s="262"/>
      <c r="J21" s="262">
        <v>176928</v>
      </c>
      <c r="K21" s="262"/>
      <c r="L21" s="262"/>
      <c r="M21" s="262"/>
      <c r="N21" s="326" t="s">
        <v>668</v>
      </c>
      <c r="O21" s="114"/>
    </row>
    <row r="22" spans="1:15" ht="18" customHeight="1">
      <c r="A22" s="120">
        <v>854</v>
      </c>
      <c r="B22" s="120">
        <v>85410</v>
      </c>
      <c r="C22" s="328" t="s">
        <v>26</v>
      </c>
      <c r="D22" s="262">
        <f t="shared" si="1"/>
        <v>636646</v>
      </c>
      <c r="E22" s="262">
        <v>13100</v>
      </c>
      <c r="F22" s="262">
        <f t="shared" si="0"/>
        <v>623546</v>
      </c>
      <c r="G22" s="262">
        <v>173546</v>
      </c>
      <c r="H22" s="262"/>
      <c r="I22" s="262">
        <v>0</v>
      </c>
      <c r="J22" s="262">
        <v>0</v>
      </c>
      <c r="K22" s="262">
        <v>450000</v>
      </c>
      <c r="L22" s="262">
        <v>0</v>
      </c>
      <c r="M22" s="262">
        <v>0</v>
      </c>
      <c r="N22" s="327" t="s">
        <v>338</v>
      </c>
      <c r="O22" s="114"/>
    </row>
    <row r="23" spans="1:15" ht="18" customHeight="1">
      <c r="A23" s="120">
        <v>801</v>
      </c>
      <c r="B23" s="120">
        <v>80130</v>
      </c>
      <c r="C23" s="328" t="s">
        <v>768</v>
      </c>
      <c r="D23" s="262">
        <f t="shared" si="1"/>
        <v>30000</v>
      </c>
      <c r="E23" s="262"/>
      <c r="F23" s="262">
        <v>30000</v>
      </c>
      <c r="G23" s="262"/>
      <c r="H23" s="262"/>
      <c r="I23" s="262"/>
      <c r="J23" s="262"/>
      <c r="K23" s="262"/>
      <c r="L23" s="262"/>
      <c r="M23" s="262"/>
      <c r="N23" s="327" t="s">
        <v>169</v>
      </c>
      <c r="O23" s="114"/>
    </row>
    <row r="24" spans="1:15" ht="36" customHeight="1" thickBot="1">
      <c r="A24" s="120">
        <v>700</v>
      </c>
      <c r="B24" s="120">
        <v>70005</v>
      </c>
      <c r="C24" s="328" t="s">
        <v>289</v>
      </c>
      <c r="D24" s="262">
        <f t="shared" si="1"/>
        <v>615047</v>
      </c>
      <c r="E24" s="262">
        <v>0</v>
      </c>
      <c r="F24" s="262">
        <f t="shared" si="0"/>
        <v>615047</v>
      </c>
      <c r="G24" s="262">
        <v>325047</v>
      </c>
      <c r="H24" s="262"/>
      <c r="I24" s="262"/>
      <c r="J24" s="262">
        <v>290000</v>
      </c>
      <c r="K24" s="262"/>
      <c r="L24" s="262"/>
      <c r="M24" s="262"/>
      <c r="N24" s="327" t="s">
        <v>339</v>
      </c>
      <c r="O24" s="114"/>
    </row>
    <row r="25" spans="1:14" s="35" customFormat="1" ht="16.5" customHeight="1" thickBot="1">
      <c r="A25" s="649" t="s">
        <v>701</v>
      </c>
      <c r="B25" s="650"/>
      <c r="C25" s="651"/>
      <c r="D25" s="301">
        <f t="shared" si="1"/>
        <v>17094784</v>
      </c>
      <c r="E25" s="301">
        <f>E8+E9+E10+E11+E13+E15+E16+E17+E18+E19+E20+E21+E22</f>
        <v>2689105</v>
      </c>
      <c r="F25" s="301">
        <f aca="true" t="shared" si="2" ref="F25:M25">F8+F9+F10+F11+F12+F13+F14+F15+F16+F17+F18+F19+F20+F21+F22+F23+F24</f>
        <v>7828546</v>
      </c>
      <c r="G25" s="301">
        <f t="shared" si="2"/>
        <v>1570004</v>
      </c>
      <c r="H25" s="301">
        <f t="shared" si="2"/>
        <v>0</v>
      </c>
      <c r="I25" s="301">
        <f t="shared" si="2"/>
        <v>383000</v>
      </c>
      <c r="J25" s="301">
        <f t="shared" si="2"/>
        <v>1605775</v>
      </c>
      <c r="K25" s="301">
        <f t="shared" si="2"/>
        <v>4239767</v>
      </c>
      <c r="L25" s="301">
        <f t="shared" si="2"/>
        <v>5469797</v>
      </c>
      <c r="M25" s="301">
        <f t="shared" si="2"/>
        <v>1107336</v>
      </c>
      <c r="N25" s="301"/>
    </row>
    <row r="26" spans="1:11" ht="4.5" customHeight="1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</row>
    <row r="27" spans="1:13" ht="12.75">
      <c r="A27" s="118"/>
      <c r="B27" s="118"/>
      <c r="C27" s="118"/>
      <c r="D27" s="118"/>
      <c r="E27" s="118"/>
      <c r="F27" s="118"/>
      <c r="G27" s="118"/>
      <c r="H27" s="118"/>
      <c r="I27" s="118"/>
      <c r="J27" s="643" t="s">
        <v>194</v>
      </c>
      <c r="K27" s="643"/>
      <c r="L27" s="643"/>
      <c r="M27" s="643"/>
    </row>
    <row r="28" spans="1:13" ht="11.25" customHeight="1">
      <c r="A28" s="118" t="s">
        <v>135</v>
      </c>
      <c r="B28" s="118"/>
      <c r="C28" s="118"/>
      <c r="D28" s="118"/>
      <c r="E28" s="118"/>
      <c r="F28" s="118"/>
      <c r="G28" s="118"/>
      <c r="H28" s="118"/>
      <c r="I28" s="118"/>
      <c r="J28" s="643" t="s">
        <v>325</v>
      </c>
      <c r="K28" s="643"/>
      <c r="L28" s="643"/>
      <c r="M28" s="643"/>
    </row>
    <row r="29" spans="1:11" ht="12.75" hidden="1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  <row r="30" spans="1:11" ht="12.75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</row>
    <row r="31" spans="1:11" ht="12.75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</row>
    <row r="32" spans="1:11" ht="12.75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</row>
    <row r="33" ht="12" customHeight="1"/>
    <row r="34" ht="12.75" hidden="1"/>
    <row r="35" ht="18" customHeight="1"/>
  </sheetData>
  <mergeCells count="16">
    <mergeCell ref="I1:N1"/>
    <mergeCell ref="A25:C25"/>
    <mergeCell ref="M4:M5"/>
    <mergeCell ref="N3:N5"/>
    <mergeCell ref="A2:N2"/>
    <mergeCell ref="A3:A5"/>
    <mergeCell ref="B3:B5"/>
    <mergeCell ref="G4:J4"/>
    <mergeCell ref="F3:M3"/>
    <mergeCell ref="E3:E5"/>
    <mergeCell ref="J27:M27"/>
    <mergeCell ref="J28:M28"/>
    <mergeCell ref="D3:D5"/>
    <mergeCell ref="C3:C5"/>
    <mergeCell ref="L4:L5"/>
    <mergeCell ref="F4:F5"/>
  </mergeCells>
  <printOptions/>
  <pageMargins left="0.1968503937007874" right="0.07874015748031496" top="0.3937007874015748" bottom="0.1968503937007874" header="0.38" footer="0.1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N4" sqref="N4"/>
    </sheetView>
  </sheetViews>
  <sheetFormatPr defaultColWidth="9.00390625" defaultRowHeight="12.75"/>
  <cols>
    <col min="1" max="1" width="3.25390625" style="0" customWidth="1"/>
    <col min="2" max="2" width="29.625" style="0" customWidth="1"/>
    <col min="3" max="3" width="9.00390625" style="0" customWidth="1"/>
  </cols>
  <sheetData>
    <row r="1" spans="5:13" ht="12.75" customHeight="1">
      <c r="E1" s="656" t="s">
        <v>775</v>
      </c>
      <c r="F1" s="656"/>
      <c r="G1" s="656"/>
      <c r="H1" s="656"/>
      <c r="I1" s="656"/>
      <c r="J1" s="656"/>
      <c r="K1" s="656"/>
      <c r="L1" s="656"/>
      <c r="M1" s="656"/>
    </row>
    <row r="2" ht="11.25" customHeight="1"/>
    <row r="3" ht="0.75" customHeight="1"/>
    <row r="4" spans="1:13" ht="15.75" customHeight="1" thickBot="1">
      <c r="A4" s="664" t="s">
        <v>677</v>
      </c>
      <c r="B4" s="664"/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</row>
    <row r="5" spans="1:13" ht="13.5" thickBot="1">
      <c r="A5" s="658" t="s">
        <v>595</v>
      </c>
      <c r="B5" s="658" t="s">
        <v>642</v>
      </c>
      <c r="C5" s="660" t="s">
        <v>404</v>
      </c>
      <c r="D5" s="662" t="s">
        <v>183</v>
      </c>
      <c r="E5" s="662"/>
      <c r="F5" s="662"/>
      <c r="G5" s="662"/>
      <c r="H5" s="662"/>
      <c r="I5" s="662"/>
      <c r="J5" s="662"/>
      <c r="K5" s="662"/>
      <c r="L5" s="662"/>
      <c r="M5" s="663"/>
    </row>
    <row r="6" spans="1:13" ht="46.5" customHeight="1" thickBot="1">
      <c r="A6" s="659"/>
      <c r="B6" s="659"/>
      <c r="C6" s="661"/>
      <c r="D6" s="299">
        <v>2006</v>
      </c>
      <c r="E6" s="299">
        <v>2007</v>
      </c>
      <c r="F6" s="299">
        <v>2008</v>
      </c>
      <c r="G6" s="299">
        <v>2009</v>
      </c>
      <c r="H6" s="299">
        <v>2010</v>
      </c>
      <c r="I6" s="299">
        <v>2011</v>
      </c>
      <c r="J6" s="299">
        <v>2012</v>
      </c>
      <c r="K6" s="300">
        <v>2013</v>
      </c>
      <c r="L6" s="300">
        <v>2014</v>
      </c>
      <c r="M6" s="299">
        <v>2015</v>
      </c>
    </row>
    <row r="7" spans="1:13" ht="13.5" thickBot="1">
      <c r="A7" s="107">
        <v>1</v>
      </c>
      <c r="B7" s="107">
        <v>2</v>
      </c>
      <c r="C7" s="79">
        <v>3</v>
      </c>
      <c r="D7" s="77">
        <v>5</v>
      </c>
      <c r="E7" s="112">
        <v>6</v>
      </c>
      <c r="F7" s="77">
        <v>7</v>
      </c>
      <c r="G7" s="77">
        <v>8</v>
      </c>
      <c r="H7" s="77">
        <v>9</v>
      </c>
      <c r="I7" s="77">
        <v>10</v>
      </c>
      <c r="J7" s="77">
        <v>11</v>
      </c>
      <c r="K7" s="78">
        <v>12</v>
      </c>
      <c r="L7" s="78">
        <v>13</v>
      </c>
      <c r="M7" s="79">
        <v>14</v>
      </c>
    </row>
    <row r="8" spans="1:13" ht="20.25" customHeight="1">
      <c r="A8" s="204" t="s">
        <v>607</v>
      </c>
      <c r="B8" s="333" t="s">
        <v>678</v>
      </c>
      <c r="C8" s="205">
        <v>8483700</v>
      </c>
      <c r="D8" s="206">
        <v>7377132</v>
      </c>
      <c r="E8" s="205">
        <v>6220564</v>
      </c>
      <c r="F8" s="205">
        <v>5046271</v>
      </c>
      <c r="G8" s="205">
        <v>3799703</v>
      </c>
      <c r="H8" s="205">
        <v>2743135</v>
      </c>
      <c r="I8" s="205">
        <v>1686567</v>
      </c>
      <c r="J8" s="206">
        <v>630000</v>
      </c>
      <c r="K8" s="205">
        <v>0</v>
      </c>
      <c r="L8" s="205">
        <v>0</v>
      </c>
      <c r="M8" s="205">
        <v>0</v>
      </c>
    </row>
    <row r="9" spans="1:13" ht="12.75">
      <c r="A9" s="207" t="s">
        <v>608</v>
      </c>
      <c r="B9" s="297" t="s">
        <v>679</v>
      </c>
      <c r="C9" s="208">
        <v>137600</v>
      </c>
      <c r="D9" s="209">
        <v>72000</v>
      </c>
      <c r="E9" s="208">
        <v>36000</v>
      </c>
      <c r="F9" s="208">
        <v>0</v>
      </c>
      <c r="G9" s="208">
        <v>0</v>
      </c>
      <c r="H9" s="208">
        <v>0</v>
      </c>
      <c r="I9" s="208">
        <v>0</v>
      </c>
      <c r="J9" s="209">
        <v>0</v>
      </c>
      <c r="K9" s="208">
        <v>0</v>
      </c>
      <c r="L9" s="208">
        <v>0</v>
      </c>
      <c r="M9" s="208">
        <v>0</v>
      </c>
    </row>
    <row r="10" spans="1:13" ht="21.75" customHeight="1">
      <c r="A10" s="210" t="s">
        <v>610</v>
      </c>
      <c r="B10" s="297" t="s">
        <v>349</v>
      </c>
      <c r="C10" s="211">
        <v>0</v>
      </c>
      <c r="D10" s="212">
        <v>0</v>
      </c>
      <c r="E10" s="211">
        <v>0</v>
      </c>
      <c r="F10" s="211">
        <v>0</v>
      </c>
      <c r="G10" s="211">
        <v>0</v>
      </c>
      <c r="H10" s="211">
        <v>0</v>
      </c>
      <c r="I10" s="211"/>
      <c r="J10" s="212"/>
      <c r="K10" s="211"/>
      <c r="L10" s="211"/>
      <c r="M10" s="211"/>
    </row>
    <row r="11" spans="1:13" ht="12.75">
      <c r="A11" s="210" t="s">
        <v>612</v>
      </c>
      <c r="B11" s="298" t="s">
        <v>679</v>
      </c>
      <c r="C11" s="211">
        <v>300000</v>
      </c>
      <c r="D11" s="212">
        <v>1383686</v>
      </c>
      <c r="E11" s="211">
        <v>1150000</v>
      </c>
      <c r="F11" s="211">
        <v>920000</v>
      </c>
      <c r="G11" s="211">
        <v>690000</v>
      </c>
      <c r="H11" s="211">
        <v>460000</v>
      </c>
      <c r="I11" s="211">
        <v>230000</v>
      </c>
      <c r="J11" s="212">
        <v>0</v>
      </c>
      <c r="K11" s="211">
        <v>0</v>
      </c>
      <c r="L11" s="211">
        <v>0</v>
      </c>
      <c r="M11" s="211">
        <v>0</v>
      </c>
    </row>
    <row r="12" spans="1:13" ht="21" customHeight="1">
      <c r="A12" s="207" t="s">
        <v>614</v>
      </c>
      <c r="B12" s="297" t="s">
        <v>680</v>
      </c>
      <c r="C12" s="208">
        <v>1887123</v>
      </c>
      <c r="D12" s="209"/>
      <c r="E12" s="208">
        <v>0</v>
      </c>
      <c r="F12" s="208"/>
      <c r="G12" s="208"/>
      <c r="H12" s="208"/>
      <c r="I12" s="208"/>
      <c r="J12" s="209"/>
      <c r="K12" s="208"/>
      <c r="L12" s="208"/>
      <c r="M12" s="208">
        <v>0</v>
      </c>
    </row>
    <row r="13" spans="1:13" ht="20.25" customHeight="1">
      <c r="A13" s="207" t="s">
        <v>647</v>
      </c>
      <c r="B13" s="297" t="s">
        <v>681</v>
      </c>
      <c r="C13" s="208">
        <v>356000</v>
      </c>
      <c r="D13" s="209">
        <v>739000</v>
      </c>
      <c r="E13" s="208">
        <v>1073439</v>
      </c>
      <c r="F13" s="208">
        <v>1058439</v>
      </c>
      <c r="G13" s="208">
        <v>882035</v>
      </c>
      <c r="H13" s="208">
        <v>705631</v>
      </c>
      <c r="I13" s="208">
        <v>529227</v>
      </c>
      <c r="J13" s="209">
        <v>352823</v>
      </c>
      <c r="K13" s="208">
        <v>176419</v>
      </c>
      <c r="L13" s="208">
        <v>0</v>
      </c>
      <c r="M13" s="208">
        <v>0</v>
      </c>
    </row>
    <row r="14" spans="1:13" ht="19.5">
      <c r="A14" s="213" t="s">
        <v>649</v>
      </c>
      <c r="B14" s="297" t="s">
        <v>539</v>
      </c>
      <c r="C14" s="124">
        <v>0</v>
      </c>
      <c r="D14" s="214">
        <v>180892</v>
      </c>
      <c r="E14" s="124">
        <v>196326</v>
      </c>
      <c r="F14" s="124">
        <v>279877</v>
      </c>
      <c r="G14" s="124">
        <v>191985</v>
      </c>
      <c r="H14" s="124">
        <v>214251</v>
      </c>
      <c r="I14" s="124">
        <v>280968</v>
      </c>
      <c r="J14" s="214">
        <v>1099598</v>
      </c>
      <c r="K14" s="124">
        <v>105398</v>
      </c>
      <c r="L14" s="124">
        <v>102446</v>
      </c>
      <c r="M14" s="124">
        <v>36982</v>
      </c>
    </row>
    <row r="15" spans="1:13" ht="18.75" customHeight="1">
      <c r="A15" s="215" t="s">
        <v>632</v>
      </c>
      <c r="B15" s="297" t="s">
        <v>682</v>
      </c>
      <c r="C15" s="124">
        <f>C16+C17+C18+C19</f>
        <v>0</v>
      </c>
      <c r="D15" s="21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  <c r="J15" s="214">
        <v>0</v>
      </c>
      <c r="K15" s="124">
        <v>0</v>
      </c>
      <c r="L15" s="124">
        <v>0</v>
      </c>
      <c r="M15" s="124">
        <v>0</v>
      </c>
    </row>
    <row r="16" spans="1:13" ht="11.25" customHeight="1">
      <c r="A16" s="213"/>
      <c r="B16" s="298" t="s">
        <v>643</v>
      </c>
      <c r="C16" s="124">
        <v>0</v>
      </c>
      <c r="D16" s="21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214">
        <v>0</v>
      </c>
      <c r="K16" s="124">
        <v>0</v>
      </c>
      <c r="L16" s="124">
        <v>0</v>
      </c>
      <c r="M16" s="124">
        <v>0</v>
      </c>
    </row>
    <row r="17" spans="1:13" ht="11.25" customHeight="1">
      <c r="A17" s="213"/>
      <c r="B17" s="298" t="s">
        <v>644</v>
      </c>
      <c r="C17" s="124">
        <v>0</v>
      </c>
      <c r="D17" s="214">
        <v>0</v>
      </c>
      <c r="E17" s="124">
        <v>0</v>
      </c>
      <c r="F17" s="124">
        <v>0</v>
      </c>
      <c r="G17" s="124">
        <v>0</v>
      </c>
      <c r="H17" s="124">
        <v>0</v>
      </c>
      <c r="I17" s="124">
        <v>0</v>
      </c>
      <c r="J17" s="214">
        <v>0</v>
      </c>
      <c r="K17" s="124">
        <v>0</v>
      </c>
      <c r="L17" s="124">
        <v>0</v>
      </c>
      <c r="M17" s="124">
        <v>0</v>
      </c>
    </row>
    <row r="18" spans="1:13" ht="10.5" customHeight="1">
      <c r="A18" s="213"/>
      <c r="B18" s="298" t="s">
        <v>645</v>
      </c>
      <c r="C18" s="124">
        <v>0</v>
      </c>
      <c r="D18" s="214">
        <v>0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  <c r="J18" s="214">
        <v>0</v>
      </c>
      <c r="K18" s="124">
        <v>0</v>
      </c>
      <c r="L18" s="124">
        <v>0</v>
      </c>
      <c r="M18" s="124">
        <v>0</v>
      </c>
    </row>
    <row r="19" spans="1:13" ht="10.5" customHeight="1">
      <c r="A19" s="213"/>
      <c r="B19" s="298" t="s">
        <v>646</v>
      </c>
      <c r="C19" s="124">
        <v>0</v>
      </c>
      <c r="D19" s="214">
        <v>0</v>
      </c>
      <c r="E19" s="124">
        <v>0</v>
      </c>
      <c r="F19" s="124">
        <v>0</v>
      </c>
      <c r="G19" s="124">
        <v>0</v>
      </c>
      <c r="H19" s="124">
        <v>0</v>
      </c>
      <c r="I19" s="124">
        <v>0</v>
      </c>
      <c r="J19" s="214">
        <v>0</v>
      </c>
      <c r="K19" s="124">
        <v>0</v>
      </c>
      <c r="L19" s="124">
        <v>0</v>
      </c>
      <c r="M19" s="124">
        <v>0</v>
      </c>
    </row>
    <row r="20" spans="1:13" ht="12.75">
      <c r="A20" s="207" t="s">
        <v>703</v>
      </c>
      <c r="B20" s="126" t="s">
        <v>648</v>
      </c>
      <c r="C20" s="208">
        <v>11164423</v>
      </c>
      <c r="D20" s="209">
        <f>D8+D9+D10+D11+D12+D13+D14+D15</f>
        <v>9752710</v>
      </c>
      <c r="E20" s="209">
        <f aca="true" t="shared" si="0" ref="E20:M20">E8+E9+E10+E11+E12+E13+E14+E15</f>
        <v>8676329</v>
      </c>
      <c r="F20" s="209">
        <f t="shared" si="0"/>
        <v>7304587</v>
      </c>
      <c r="G20" s="209">
        <f t="shared" si="0"/>
        <v>5563723</v>
      </c>
      <c r="H20" s="209">
        <f t="shared" si="0"/>
        <v>4123017</v>
      </c>
      <c r="I20" s="209">
        <f t="shared" si="0"/>
        <v>2726762</v>
      </c>
      <c r="J20" s="209">
        <f t="shared" si="0"/>
        <v>2082421</v>
      </c>
      <c r="K20" s="209">
        <f t="shared" si="0"/>
        <v>281817</v>
      </c>
      <c r="L20" s="209">
        <f t="shared" si="0"/>
        <v>102446</v>
      </c>
      <c r="M20" s="209">
        <f t="shared" si="0"/>
        <v>36982</v>
      </c>
    </row>
    <row r="21" spans="1:13" ht="13.5" thickBot="1">
      <c r="A21" s="210" t="s">
        <v>691</v>
      </c>
      <c r="B21" s="125" t="s">
        <v>650</v>
      </c>
      <c r="C21" s="216">
        <v>30327932</v>
      </c>
      <c r="D21" s="217">
        <f>'z8'!D9</f>
        <v>35942344</v>
      </c>
      <c r="E21" s="218">
        <v>31631000</v>
      </c>
      <c r="F21" s="218">
        <v>30145000</v>
      </c>
      <c r="G21" s="218">
        <v>29600000</v>
      </c>
      <c r="H21" s="218">
        <v>29200000</v>
      </c>
      <c r="I21" s="218">
        <v>29400000</v>
      </c>
      <c r="J21" s="219">
        <v>29500000</v>
      </c>
      <c r="K21" s="218">
        <v>29600000</v>
      </c>
      <c r="L21" s="218">
        <v>29700000</v>
      </c>
      <c r="M21" s="218">
        <v>30000000</v>
      </c>
    </row>
    <row r="22" spans="1:13" ht="23.25" thickBot="1">
      <c r="A22" s="220" t="s">
        <v>177</v>
      </c>
      <c r="B22" s="221" t="s">
        <v>676</v>
      </c>
      <c r="C22" s="222">
        <f>C20/C21</f>
        <v>0.3681234513451164</v>
      </c>
      <c r="D22" s="223">
        <f>D20/D21</f>
        <v>0.27134318229217325</v>
      </c>
      <c r="E22" s="222">
        <f>E20/E21</f>
        <v>0.27429828332964495</v>
      </c>
      <c r="F22" s="222">
        <f>F20/F21</f>
        <v>0.24231504395422127</v>
      </c>
      <c r="G22" s="222">
        <v>0.1808</v>
      </c>
      <c r="H22" s="222">
        <f aca="true" t="shared" si="1" ref="H22:M22">H20/H21</f>
        <v>0.14119921232876712</v>
      </c>
      <c r="I22" s="222">
        <f t="shared" si="1"/>
        <v>0.09274700680272109</v>
      </c>
      <c r="J22" s="224">
        <f t="shared" si="1"/>
        <v>0.07059054237288136</v>
      </c>
      <c r="K22" s="224">
        <f t="shared" si="1"/>
        <v>0.009520844594594595</v>
      </c>
      <c r="L22" s="224">
        <f t="shared" si="1"/>
        <v>0.003449360269360269</v>
      </c>
      <c r="M22" s="224">
        <f t="shared" si="1"/>
        <v>0.0012327333333333333</v>
      </c>
    </row>
    <row r="23" spans="1:13" ht="13.5" thickBot="1">
      <c r="A23" s="225"/>
      <c r="B23" s="226"/>
      <c r="C23" s="227"/>
      <c r="D23" s="228"/>
      <c r="E23" s="229"/>
      <c r="F23" s="229"/>
      <c r="G23" s="229"/>
      <c r="H23" s="229"/>
      <c r="I23" s="229"/>
      <c r="J23" s="230"/>
      <c r="K23" s="230"/>
      <c r="L23" s="230"/>
      <c r="M23" s="230"/>
    </row>
    <row r="24" spans="1:13" ht="3" customHeight="1">
      <c r="A24" s="231"/>
      <c r="B24" s="232"/>
      <c r="C24" s="233"/>
      <c r="D24" s="233"/>
      <c r="E24" s="233"/>
      <c r="F24" s="233"/>
      <c r="G24" s="233"/>
      <c r="H24" s="232"/>
      <c r="I24" s="234"/>
      <c r="J24" s="234"/>
      <c r="K24" s="234"/>
      <c r="L24" s="234"/>
      <c r="M24" s="232"/>
    </row>
    <row r="25" spans="1:13" ht="19.5">
      <c r="A25" s="234"/>
      <c r="B25" s="331" t="s">
        <v>683</v>
      </c>
      <c r="C25" s="236">
        <v>1086568</v>
      </c>
      <c r="D25" s="236">
        <v>1106568</v>
      </c>
      <c r="E25" s="237">
        <v>1156568</v>
      </c>
      <c r="F25" s="237">
        <v>1174293</v>
      </c>
      <c r="G25" s="237">
        <v>1246568</v>
      </c>
      <c r="H25" s="236">
        <v>1056568</v>
      </c>
      <c r="I25" s="236">
        <v>1056568</v>
      </c>
      <c r="J25" s="236">
        <v>1056567</v>
      </c>
      <c r="K25" s="238">
        <v>630000</v>
      </c>
      <c r="L25" s="238">
        <v>0</v>
      </c>
      <c r="M25" s="236">
        <v>0</v>
      </c>
    </row>
    <row r="26" spans="1:13" ht="22.5" customHeight="1">
      <c r="A26" s="234"/>
      <c r="B26" s="332" t="s">
        <v>184</v>
      </c>
      <c r="C26" s="239">
        <v>56400</v>
      </c>
      <c r="D26" s="239">
        <v>36000</v>
      </c>
      <c r="E26" s="239">
        <v>36000</v>
      </c>
      <c r="F26" s="239">
        <v>36000</v>
      </c>
      <c r="G26" s="240">
        <v>0</v>
      </c>
      <c r="H26" s="240">
        <v>0</v>
      </c>
      <c r="I26" s="239">
        <v>0</v>
      </c>
      <c r="J26" s="236">
        <v>0</v>
      </c>
      <c r="K26" s="238">
        <v>0</v>
      </c>
      <c r="L26" s="238">
        <v>0</v>
      </c>
      <c r="M26" s="236">
        <v>0</v>
      </c>
    </row>
    <row r="27" spans="1:13" ht="19.5">
      <c r="A27" s="234"/>
      <c r="B27" s="332" t="s">
        <v>351</v>
      </c>
      <c r="C27" s="239">
        <v>0</v>
      </c>
      <c r="D27" s="239">
        <v>300000</v>
      </c>
      <c r="E27" s="239">
        <v>233686</v>
      </c>
      <c r="F27" s="239">
        <v>230000</v>
      </c>
      <c r="G27" s="239">
        <v>230000</v>
      </c>
      <c r="H27" s="239">
        <v>230000</v>
      </c>
      <c r="I27" s="239">
        <v>230000</v>
      </c>
      <c r="J27" s="239">
        <v>230000</v>
      </c>
      <c r="K27" s="238">
        <v>0</v>
      </c>
      <c r="L27" s="238">
        <v>0</v>
      </c>
      <c r="M27" s="236">
        <v>0</v>
      </c>
    </row>
    <row r="28" spans="1:13" ht="19.5">
      <c r="A28" s="234"/>
      <c r="B28" s="332" t="s">
        <v>352</v>
      </c>
      <c r="C28" s="240">
        <v>0</v>
      </c>
      <c r="D28" s="239">
        <v>0</v>
      </c>
      <c r="E28" s="239">
        <v>0</v>
      </c>
      <c r="F28" s="239">
        <v>0</v>
      </c>
      <c r="G28" s="239">
        <v>0</v>
      </c>
      <c r="H28" s="239">
        <v>0</v>
      </c>
      <c r="I28" s="239">
        <v>0</v>
      </c>
      <c r="J28" s="239"/>
      <c r="K28" s="238"/>
      <c r="L28" s="238"/>
      <c r="M28" s="236"/>
    </row>
    <row r="29" spans="1:13" ht="19.5">
      <c r="A29" s="234"/>
      <c r="B29" s="332" t="s">
        <v>350</v>
      </c>
      <c r="C29" s="240">
        <v>0</v>
      </c>
      <c r="D29" s="239">
        <v>1887123</v>
      </c>
      <c r="E29" s="239">
        <v>0</v>
      </c>
      <c r="F29" s="239">
        <v>0</v>
      </c>
      <c r="G29" s="239">
        <v>0</v>
      </c>
      <c r="H29" s="239">
        <v>0</v>
      </c>
      <c r="I29" s="239">
        <v>0</v>
      </c>
      <c r="J29" s="239">
        <v>0</v>
      </c>
      <c r="K29" s="238">
        <v>0</v>
      </c>
      <c r="L29" s="238">
        <v>0</v>
      </c>
      <c r="M29" s="236">
        <v>0</v>
      </c>
    </row>
    <row r="30" spans="1:13" ht="19.5">
      <c r="A30" s="234"/>
      <c r="B30" s="332" t="s">
        <v>684</v>
      </c>
      <c r="C30" s="240">
        <v>0</v>
      </c>
      <c r="D30" s="239">
        <v>0</v>
      </c>
      <c r="E30" s="239">
        <v>0</v>
      </c>
      <c r="F30" s="239">
        <v>15000</v>
      </c>
      <c r="G30" s="239">
        <v>176404</v>
      </c>
      <c r="H30" s="239">
        <v>176404</v>
      </c>
      <c r="I30" s="239">
        <v>176404</v>
      </c>
      <c r="J30" s="239">
        <v>176404</v>
      </c>
      <c r="K30" s="238">
        <v>176404</v>
      </c>
      <c r="L30" s="238">
        <v>176419</v>
      </c>
      <c r="M30" s="236">
        <v>0</v>
      </c>
    </row>
    <row r="31" spans="1:13" ht="18.75" customHeight="1">
      <c r="A31" s="665" t="s">
        <v>688</v>
      </c>
      <c r="B31" s="666"/>
      <c r="C31" s="241">
        <f>C25+C26+C27+C28+C29+C30</f>
        <v>1142968</v>
      </c>
      <c r="D31" s="241">
        <f aca="true" t="shared" si="2" ref="D31:M31">D25+D26+D27+D28+D29+D30</f>
        <v>3329691</v>
      </c>
      <c r="E31" s="241">
        <f t="shared" si="2"/>
        <v>1426254</v>
      </c>
      <c r="F31" s="241">
        <f t="shared" si="2"/>
        <v>1455293</v>
      </c>
      <c r="G31" s="241">
        <f t="shared" si="2"/>
        <v>1652972</v>
      </c>
      <c r="H31" s="241">
        <f t="shared" si="2"/>
        <v>1462972</v>
      </c>
      <c r="I31" s="241">
        <f t="shared" si="2"/>
        <v>1462972</v>
      </c>
      <c r="J31" s="241">
        <f t="shared" si="2"/>
        <v>1462971</v>
      </c>
      <c r="K31" s="241">
        <f t="shared" si="2"/>
        <v>806404</v>
      </c>
      <c r="L31" s="241">
        <f t="shared" si="2"/>
        <v>176419</v>
      </c>
      <c r="M31" s="241">
        <f t="shared" si="2"/>
        <v>0</v>
      </c>
    </row>
    <row r="32" spans="1:13" ht="18.75" customHeight="1">
      <c r="A32" s="234"/>
      <c r="B32" s="242"/>
      <c r="C32" s="200"/>
      <c r="D32" s="243"/>
      <c r="E32" s="243"/>
      <c r="F32" s="243"/>
      <c r="G32" s="243"/>
      <c r="H32" s="244"/>
      <c r="I32" s="244"/>
      <c r="J32" s="234"/>
      <c r="K32" s="234"/>
      <c r="L32" s="234"/>
      <c r="M32" s="234"/>
    </row>
    <row r="33" spans="1:13" ht="16.5" customHeight="1">
      <c r="A33" s="234"/>
      <c r="B33" s="234"/>
      <c r="C33" s="234"/>
      <c r="D33" s="234"/>
      <c r="E33" s="234"/>
      <c r="F33" s="234"/>
      <c r="G33" s="657" t="s">
        <v>689</v>
      </c>
      <c r="H33" s="657"/>
      <c r="I33" s="657"/>
      <c r="J33" s="657"/>
      <c r="K33" s="657"/>
      <c r="L33" s="657"/>
      <c r="M33" s="657"/>
    </row>
    <row r="34" ht="16.5" customHeight="1"/>
    <row r="35" spans="9:11" ht="12.75" hidden="1">
      <c r="I35" s="552" t="s">
        <v>30</v>
      </c>
      <c r="J35" s="552"/>
      <c r="K35" s="552"/>
    </row>
  </sheetData>
  <mergeCells count="9">
    <mergeCell ref="I35:K35"/>
    <mergeCell ref="E1:M1"/>
    <mergeCell ref="G33:M33"/>
    <mergeCell ref="A5:A6"/>
    <mergeCell ref="B5:B6"/>
    <mergeCell ref="C5:C6"/>
    <mergeCell ref="D5:M5"/>
    <mergeCell ref="A4:M4"/>
    <mergeCell ref="A31:B31"/>
  </mergeCells>
  <printOptions/>
  <pageMargins left="0.5905511811023623" right="0.5905511811023623" top="0.35433070866141736" bottom="0.31496062992125984" header="0.3937007874015748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37"/>
  <sheetViews>
    <sheetView workbookViewId="0" topLeftCell="A1">
      <selection activeCell="C2" sqref="C2:D2"/>
    </sheetView>
  </sheetViews>
  <sheetFormatPr defaultColWidth="9.00390625" defaultRowHeight="12.75"/>
  <cols>
    <col min="1" max="1" width="6.625" style="0" customWidth="1"/>
    <col min="2" max="2" width="42.125" style="0" customWidth="1"/>
    <col min="3" max="3" width="17.875" style="0" customWidth="1"/>
    <col min="4" max="4" width="21.875" style="0" customWidth="1"/>
    <col min="5" max="6" width="27.375" style="0" customWidth="1"/>
  </cols>
  <sheetData>
    <row r="1" ht="12.75" customHeight="1"/>
    <row r="2" spans="3:6" ht="49.5" customHeight="1">
      <c r="C2" s="667" t="s">
        <v>776</v>
      </c>
      <c r="D2" s="667"/>
      <c r="E2" s="134"/>
      <c r="F2" s="134"/>
    </row>
    <row r="3" spans="1:9" ht="15.75">
      <c r="A3" s="669" t="s">
        <v>594</v>
      </c>
      <c r="B3" s="669"/>
      <c r="C3" s="669"/>
      <c r="D3" s="669"/>
      <c r="E3" s="669"/>
      <c r="F3" s="669"/>
      <c r="G3" s="669"/>
      <c r="H3" s="669"/>
      <c r="I3" s="669"/>
    </row>
    <row r="4" spans="1:9" ht="15.75">
      <c r="A4" s="53"/>
      <c r="B4" s="53"/>
      <c r="C4" s="53"/>
      <c r="D4" s="53"/>
      <c r="E4" s="53"/>
      <c r="F4" s="53"/>
      <c r="G4" s="53"/>
      <c r="H4" s="53"/>
      <c r="I4" s="53"/>
    </row>
    <row r="5" ht="13.5" thickBot="1"/>
    <row r="6" spans="1:9" ht="24.75" customHeight="1">
      <c r="A6" s="674" t="s">
        <v>595</v>
      </c>
      <c r="B6" s="672" t="s">
        <v>596</v>
      </c>
      <c r="C6" s="670" t="s">
        <v>597</v>
      </c>
      <c r="D6" s="676" t="s">
        <v>617</v>
      </c>
      <c r="E6" s="89"/>
      <c r="F6" s="89"/>
      <c r="G6" s="668"/>
      <c r="H6" s="668"/>
      <c r="I6" s="668"/>
    </row>
    <row r="7" spans="1:9" ht="18.75" customHeight="1" thickBot="1">
      <c r="A7" s="675"/>
      <c r="B7" s="673"/>
      <c r="C7" s="671"/>
      <c r="D7" s="677"/>
      <c r="E7" s="89"/>
      <c r="F7" s="89"/>
      <c r="G7" s="668"/>
      <c r="H7" s="668"/>
      <c r="I7" s="668"/>
    </row>
    <row r="8" spans="1:6" ht="13.5" customHeight="1" thickBot="1">
      <c r="A8" s="54">
        <v>1</v>
      </c>
      <c r="B8" s="55">
        <v>2</v>
      </c>
      <c r="C8" s="56">
        <v>3</v>
      </c>
      <c r="D8" s="136">
        <v>5</v>
      </c>
      <c r="E8" s="135"/>
      <c r="F8" s="135"/>
    </row>
    <row r="9" spans="1:6" ht="18" customHeight="1" thickBot="1">
      <c r="A9" s="11" t="s">
        <v>599</v>
      </c>
      <c r="B9" s="57" t="s">
        <v>600</v>
      </c>
      <c r="C9" s="57"/>
      <c r="D9" s="138">
        <f>'Z1'!V183</f>
        <v>35942344</v>
      </c>
      <c r="E9" s="35"/>
      <c r="F9" s="35"/>
    </row>
    <row r="10" spans="1:6" ht="18" customHeight="1" thickBot="1">
      <c r="A10" s="58" t="s">
        <v>601</v>
      </c>
      <c r="B10" s="59" t="s">
        <v>602</v>
      </c>
      <c r="C10" s="59"/>
      <c r="D10" s="65">
        <f>'Z 2'!N503</f>
        <v>34420003</v>
      </c>
      <c r="E10" s="35"/>
      <c r="F10" s="35"/>
    </row>
    <row r="11" spans="1:6" ht="12.75">
      <c r="A11" s="60"/>
      <c r="B11" s="42" t="s">
        <v>603</v>
      </c>
      <c r="C11" s="34"/>
      <c r="D11" s="174">
        <f>D9-D10</f>
        <v>1522341</v>
      </c>
      <c r="E11" s="35"/>
      <c r="F11" s="35"/>
    </row>
    <row r="12" spans="1:6" ht="15.75" customHeight="1" thickBot="1">
      <c r="A12" s="61"/>
      <c r="B12" s="62" t="s">
        <v>604</v>
      </c>
      <c r="C12" s="62"/>
      <c r="D12" s="175">
        <f>D13-D22</f>
        <v>-1522341</v>
      </c>
      <c r="E12" s="35"/>
      <c r="F12" s="35"/>
    </row>
    <row r="13" spans="1:6" ht="15.75" customHeight="1" thickBot="1">
      <c r="A13" s="58" t="s">
        <v>605</v>
      </c>
      <c r="B13" s="64" t="s">
        <v>606</v>
      </c>
      <c r="C13" s="65"/>
      <c r="D13" s="66">
        <f>D14+D15+D16+D17+D18+D19+D20+D21</f>
        <v>1807350</v>
      </c>
      <c r="E13" s="87"/>
      <c r="F13" s="87"/>
    </row>
    <row r="14" spans="1:6" ht="12.75">
      <c r="A14" s="67" t="s">
        <v>607</v>
      </c>
      <c r="B14" s="42" t="s">
        <v>175</v>
      </c>
      <c r="C14" s="60" t="s">
        <v>727</v>
      </c>
      <c r="D14" s="174">
        <v>1766686</v>
      </c>
      <c r="E14" s="35"/>
      <c r="F14" s="35"/>
    </row>
    <row r="15" spans="1:6" ht="16.5" customHeight="1">
      <c r="A15" s="68" t="s">
        <v>608</v>
      </c>
      <c r="B15" s="7" t="s">
        <v>609</v>
      </c>
      <c r="C15" s="2" t="s">
        <v>727</v>
      </c>
      <c r="D15" s="176">
        <v>0</v>
      </c>
      <c r="E15" s="35"/>
      <c r="F15" s="35"/>
    </row>
    <row r="16" spans="1:6" ht="37.5" customHeight="1">
      <c r="A16" s="68" t="s">
        <v>610</v>
      </c>
      <c r="B16" s="8" t="s">
        <v>68</v>
      </c>
      <c r="C16" s="2" t="s">
        <v>39</v>
      </c>
      <c r="D16" s="176">
        <v>0</v>
      </c>
      <c r="E16" s="35"/>
      <c r="F16" s="35"/>
    </row>
    <row r="17" spans="1:6" ht="16.5" customHeight="1">
      <c r="A17" s="68" t="s">
        <v>612</v>
      </c>
      <c r="B17" s="7" t="s">
        <v>611</v>
      </c>
      <c r="C17" s="2" t="s">
        <v>728</v>
      </c>
      <c r="D17" s="176">
        <v>0</v>
      </c>
      <c r="E17" s="35"/>
      <c r="F17" s="35"/>
    </row>
    <row r="18" spans="1:6" ht="18" customHeight="1">
      <c r="A18" s="68" t="s">
        <v>614</v>
      </c>
      <c r="B18" s="7" t="s">
        <v>613</v>
      </c>
      <c r="C18" s="2" t="s">
        <v>729</v>
      </c>
      <c r="D18" s="176">
        <v>0</v>
      </c>
      <c r="E18" s="35"/>
      <c r="F18" s="35"/>
    </row>
    <row r="19" spans="1:6" ht="18.75" customHeight="1">
      <c r="A19" s="68" t="s">
        <v>647</v>
      </c>
      <c r="B19" s="8" t="s">
        <v>630</v>
      </c>
      <c r="C19" s="2" t="s">
        <v>730</v>
      </c>
      <c r="D19" s="176">
        <v>0</v>
      </c>
      <c r="E19" s="35"/>
      <c r="F19" s="35"/>
    </row>
    <row r="20" spans="1:6" ht="18.75" customHeight="1">
      <c r="A20" s="68" t="s">
        <v>649</v>
      </c>
      <c r="B20" s="8" t="s">
        <v>631</v>
      </c>
      <c r="C20" s="2" t="s">
        <v>731</v>
      </c>
      <c r="D20" s="176">
        <v>0</v>
      </c>
      <c r="E20" s="35"/>
      <c r="F20" s="35"/>
    </row>
    <row r="21" spans="1:6" ht="13.5" thickBot="1">
      <c r="A21" s="69" t="s">
        <v>632</v>
      </c>
      <c r="B21" s="70" t="s">
        <v>633</v>
      </c>
      <c r="C21" s="39" t="s">
        <v>728</v>
      </c>
      <c r="D21" s="175">
        <v>40664</v>
      </c>
      <c r="E21" s="35"/>
      <c r="F21" s="35"/>
    </row>
    <row r="22" spans="1:6" ht="15.75" customHeight="1" thickBot="1">
      <c r="A22" s="58" t="s">
        <v>634</v>
      </c>
      <c r="B22" s="71" t="s">
        <v>635</v>
      </c>
      <c r="C22" s="55"/>
      <c r="D22" s="66">
        <f>D23+D24+D25+D26+D27+D28+D29</f>
        <v>3329691</v>
      </c>
      <c r="E22" s="87"/>
      <c r="F22" s="87"/>
    </row>
    <row r="23" spans="1:6" ht="15.75" customHeight="1">
      <c r="A23" s="72" t="s">
        <v>607</v>
      </c>
      <c r="B23" s="73" t="s">
        <v>636</v>
      </c>
      <c r="C23" s="74" t="s">
        <v>732</v>
      </c>
      <c r="D23" s="177">
        <v>1406568</v>
      </c>
      <c r="E23" s="35"/>
      <c r="F23" s="35"/>
    </row>
    <row r="24" spans="1:6" ht="15.75" customHeight="1">
      <c r="A24" s="68" t="s">
        <v>608</v>
      </c>
      <c r="B24" s="7" t="s">
        <v>637</v>
      </c>
      <c r="C24" s="2" t="s">
        <v>733</v>
      </c>
      <c r="D24" s="176">
        <v>0</v>
      </c>
      <c r="E24" s="35"/>
      <c r="F24" s="35"/>
    </row>
    <row r="25" spans="1:6" ht="15.75" customHeight="1">
      <c r="A25" s="68" t="s">
        <v>610</v>
      </c>
      <c r="B25" s="7" t="s">
        <v>434</v>
      </c>
      <c r="C25" s="2" t="s">
        <v>732</v>
      </c>
      <c r="D25" s="176">
        <v>36000</v>
      </c>
      <c r="E25" s="35"/>
      <c r="F25" s="35"/>
    </row>
    <row r="26" spans="1:6" ht="39" customHeight="1">
      <c r="A26" s="68" t="s">
        <v>612</v>
      </c>
      <c r="B26" s="8" t="s">
        <v>20</v>
      </c>
      <c r="C26" s="2" t="s">
        <v>69</v>
      </c>
      <c r="D26" s="176">
        <v>1887123</v>
      </c>
      <c r="E26" s="35"/>
      <c r="F26" s="35"/>
    </row>
    <row r="27" spans="1:12" ht="15.75" customHeight="1">
      <c r="A27" s="68" t="s">
        <v>614</v>
      </c>
      <c r="B27" s="7" t="s">
        <v>638</v>
      </c>
      <c r="C27" s="2" t="s">
        <v>734</v>
      </c>
      <c r="D27" s="176">
        <v>0</v>
      </c>
      <c r="E27" s="35"/>
      <c r="F27" s="35"/>
      <c r="L27" s="35"/>
    </row>
    <row r="28" spans="1:6" ht="15.75" customHeight="1">
      <c r="A28" s="68" t="s">
        <v>647</v>
      </c>
      <c r="B28" s="7" t="s">
        <v>639</v>
      </c>
      <c r="C28" s="2" t="s">
        <v>735</v>
      </c>
      <c r="D28" s="176">
        <v>0</v>
      </c>
      <c r="E28" s="35"/>
      <c r="F28" s="35"/>
    </row>
    <row r="29" spans="1:6" ht="15.75" customHeight="1" thickBot="1">
      <c r="A29" s="38" t="s">
        <v>649</v>
      </c>
      <c r="B29" s="75" t="s">
        <v>640</v>
      </c>
      <c r="C29" s="76" t="s">
        <v>401</v>
      </c>
      <c r="D29" s="178">
        <v>0</v>
      </c>
      <c r="E29" s="35"/>
      <c r="F29" s="35"/>
    </row>
    <row r="30" spans="1:6" ht="24.75" customHeight="1">
      <c r="A30" s="144" t="s">
        <v>641</v>
      </c>
      <c r="B30" s="302" t="s">
        <v>405</v>
      </c>
      <c r="C30" s="145"/>
      <c r="D30" s="179">
        <f>D22</f>
        <v>3329691</v>
      </c>
      <c r="E30" s="35"/>
      <c r="F30" s="35"/>
    </row>
    <row r="31" spans="1:6" ht="24" customHeight="1">
      <c r="A31" s="69" t="s">
        <v>221</v>
      </c>
      <c r="B31" s="303" t="s">
        <v>225</v>
      </c>
      <c r="C31" s="39"/>
      <c r="D31" s="175">
        <f>D9-D30</f>
        <v>32612653</v>
      </c>
      <c r="E31" s="35"/>
      <c r="F31" s="35"/>
    </row>
    <row r="32" spans="1:6" ht="24.75" customHeight="1">
      <c r="A32" s="69" t="s">
        <v>226</v>
      </c>
      <c r="B32" s="303" t="s">
        <v>232</v>
      </c>
      <c r="C32" s="39"/>
      <c r="D32" s="175">
        <f>D10-D31</f>
        <v>1807350</v>
      </c>
      <c r="E32" s="35"/>
      <c r="F32" s="35"/>
    </row>
    <row r="33" spans="1:6" ht="40.5" customHeight="1" thickBot="1">
      <c r="A33" s="38" t="s">
        <v>158</v>
      </c>
      <c r="B33" s="304" t="s">
        <v>233</v>
      </c>
      <c r="C33" s="76"/>
      <c r="D33" s="178">
        <f>D13</f>
        <v>1807350</v>
      </c>
      <c r="E33" s="35"/>
      <c r="F33" s="35"/>
    </row>
    <row r="37" ht="30.75" customHeight="1">
      <c r="C37" t="s">
        <v>176</v>
      </c>
    </row>
  </sheetData>
  <mergeCells count="7">
    <mergeCell ref="C2:D2"/>
    <mergeCell ref="G6:I7"/>
    <mergeCell ref="A3:I3"/>
    <mergeCell ref="C6:C7"/>
    <mergeCell ref="B6:B7"/>
    <mergeCell ref="A6:A7"/>
    <mergeCell ref="D6:D7"/>
  </mergeCells>
  <printOptions/>
  <pageMargins left="0.5905511811023623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C1" sqref="C1:C2"/>
    </sheetView>
  </sheetViews>
  <sheetFormatPr defaultColWidth="9.00390625" defaultRowHeight="12.75"/>
  <cols>
    <col min="2" max="2" width="54.25390625" style="0" customWidth="1"/>
    <col min="3" max="3" width="18.375" style="0" customWidth="1"/>
  </cols>
  <sheetData>
    <row r="1" ht="21.75" customHeight="1">
      <c r="C1" s="678" t="s">
        <v>777</v>
      </c>
    </row>
    <row r="2" ht="57.75" customHeight="1">
      <c r="C2" s="678"/>
    </row>
    <row r="3" spans="1:3" ht="39.75" customHeight="1">
      <c r="A3" s="679" t="s">
        <v>744</v>
      </c>
      <c r="B3" s="679"/>
      <c r="C3" s="679"/>
    </row>
    <row r="4" spans="1:3" ht="15.75">
      <c r="A4" s="439"/>
      <c r="B4" s="439"/>
      <c r="C4" s="1"/>
    </row>
    <row r="5" ht="13.5" thickBot="1">
      <c r="C5" s="36"/>
    </row>
    <row r="6" spans="1:3" ht="13.5" thickBot="1">
      <c r="A6" s="440" t="s">
        <v>595</v>
      </c>
      <c r="B6" s="441" t="s">
        <v>110</v>
      </c>
      <c r="C6" s="442" t="s">
        <v>745</v>
      </c>
    </row>
    <row r="7" spans="1:3" ht="13.5" thickBot="1">
      <c r="A7" s="440" t="s">
        <v>599</v>
      </c>
      <c r="B7" s="443" t="s">
        <v>746</v>
      </c>
      <c r="C7" s="444">
        <f>C8+C9-C10</f>
        <v>62687</v>
      </c>
    </row>
    <row r="8" spans="1:3" ht="12.75">
      <c r="A8" s="445" t="s">
        <v>607</v>
      </c>
      <c r="B8" s="446" t="s">
        <v>747</v>
      </c>
      <c r="C8" s="34">
        <v>62687</v>
      </c>
    </row>
    <row r="9" spans="1:3" ht="12.75">
      <c r="A9" s="447" t="s">
        <v>608</v>
      </c>
      <c r="B9" s="448" t="s">
        <v>748</v>
      </c>
      <c r="C9" s="7">
        <v>0</v>
      </c>
    </row>
    <row r="10" spans="1:3" ht="12.75">
      <c r="A10" s="447" t="s">
        <v>610</v>
      </c>
      <c r="B10" s="448" t="s">
        <v>749</v>
      </c>
      <c r="C10" s="7">
        <v>0</v>
      </c>
    </row>
    <row r="11" spans="1:3" ht="13.5" thickBot="1">
      <c r="A11" s="80" t="s">
        <v>612</v>
      </c>
      <c r="B11" s="449" t="s">
        <v>750</v>
      </c>
      <c r="C11" s="63">
        <v>0</v>
      </c>
    </row>
    <row r="12" spans="1:3" ht="13.5" thickBot="1">
      <c r="A12" s="469" t="s">
        <v>601</v>
      </c>
      <c r="B12" s="443" t="s">
        <v>111</v>
      </c>
      <c r="C12" s="444">
        <f>C13+C14+C15</f>
        <v>63550</v>
      </c>
    </row>
    <row r="13" spans="1:3" ht="13.5" thickBot="1">
      <c r="A13" s="39" t="s">
        <v>607</v>
      </c>
      <c r="B13" s="35" t="s">
        <v>764</v>
      </c>
      <c r="C13" s="33">
        <v>60000</v>
      </c>
    </row>
    <row r="14" spans="1:3" ht="27" customHeight="1">
      <c r="A14" s="471" t="s">
        <v>608</v>
      </c>
      <c r="B14" s="472" t="s">
        <v>766</v>
      </c>
      <c r="C14" s="473">
        <v>3550</v>
      </c>
    </row>
    <row r="15" spans="1:3" ht="27" customHeight="1">
      <c r="A15" s="49" t="s">
        <v>610</v>
      </c>
      <c r="B15" s="25" t="s">
        <v>765</v>
      </c>
      <c r="C15" s="16">
        <v>0</v>
      </c>
    </row>
    <row r="16" spans="1:3" ht="13.5" thickBot="1">
      <c r="A16" s="470" t="s">
        <v>605</v>
      </c>
      <c r="B16" s="474" t="s">
        <v>545</v>
      </c>
      <c r="C16" s="475">
        <f>C17+C23</f>
        <v>122000</v>
      </c>
    </row>
    <row r="17" spans="1:3" ht="12.75">
      <c r="A17" s="450" t="s">
        <v>607</v>
      </c>
      <c r="B17" s="451" t="s">
        <v>751</v>
      </c>
      <c r="C17" s="452">
        <f>C18+C19+C22+C21+C20</f>
        <v>61000</v>
      </c>
    </row>
    <row r="18" spans="1:3" ht="24.75" customHeight="1">
      <c r="A18" s="447"/>
      <c r="B18" s="453" t="s">
        <v>752</v>
      </c>
      <c r="C18" s="7">
        <v>20000</v>
      </c>
    </row>
    <row r="19" spans="1:3" ht="24.75" customHeight="1">
      <c r="A19" s="447"/>
      <c r="B19" s="453" t="s">
        <v>753</v>
      </c>
      <c r="C19" s="7">
        <v>0</v>
      </c>
    </row>
    <row r="20" spans="1:3" ht="36" customHeight="1">
      <c r="A20" s="447"/>
      <c r="B20" s="453" t="s">
        <v>754</v>
      </c>
      <c r="C20" s="7">
        <v>7000</v>
      </c>
    </row>
    <row r="21" spans="1:3" ht="16.5" customHeight="1">
      <c r="A21" s="447"/>
      <c r="B21" s="453" t="s">
        <v>755</v>
      </c>
      <c r="C21" s="7">
        <v>11000</v>
      </c>
    </row>
    <row r="22" spans="1:3" ht="17.25" customHeight="1">
      <c r="A22" s="447"/>
      <c r="B22" s="453" t="s">
        <v>756</v>
      </c>
      <c r="C22" s="7">
        <v>23000</v>
      </c>
    </row>
    <row r="23" spans="1:3" ht="12.75">
      <c r="A23" s="454" t="s">
        <v>608</v>
      </c>
      <c r="B23" s="455" t="s">
        <v>757</v>
      </c>
      <c r="C23" s="6">
        <f>C24+C25</f>
        <v>61000</v>
      </c>
    </row>
    <row r="24" spans="1:3" ht="12.75">
      <c r="A24" s="456"/>
      <c r="B24" s="457" t="s">
        <v>758</v>
      </c>
      <c r="C24" s="86">
        <v>5000</v>
      </c>
    </row>
    <row r="25" spans="1:3" ht="13.5" thickBot="1">
      <c r="A25" s="456"/>
      <c r="B25" s="457" t="s">
        <v>759</v>
      </c>
      <c r="C25" s="86">
        <v>56000</v>
      </c>
    </row>
    <row r="26" spans="1:3" ht="13.5" thickBot="1">
      <c r="A26" s="440" t="s">
        <v>760</v>
      </c>
      <c r="B26" s="443" t="s">
        <v>761</v>
      </c>
      <c r="C26" s="444">
        <f>C27++C28-C29</f>
        <v>4237</v>
      </c>
    </row>
    <row r="27" spans="1:3" ht="12.75">
      <c r="A27" s="458" t="s">
        <v>607</v>
      </c>
      <c r="B27" s="459" t="s">
        <v>747</v>
      </c>
      <c r="C27" s="460">
        <v>4237</v>
      </c>
    </row>
    <row r="28" spans="1:3" ht="12.75">
      <c r="A28" s="447" t="s">
        <v>608</v>
      </c>
      <c r="B28" s="448" t="s">
        <v>748</v>
      </c>
      <c r="C28" s="116">
        <v>0</v>
      </c>
    </row>
    <row r="29" spans="1:3" ht="13.5" thickBot="1">
      <c r="A29" s="461" t="s">
        <v>610</v>
      </c>
      <c r="B29" s="462" t="s">
        <v>749</v>
      </c>
      <c r="C29" s="463">
        <v>0</v>
      </c>
    </row>
    <row r="30" ht="33.75" customHeight="1"/>
    <row r="31" spans="2:3" ht="12.75">
      <c r="B31" s="619" t="s">
        <v>762</v>
      </c>
      <c r="C31" s="619"/>
    </row>
  </sheetData>
  <mergeCells count="3">
    <mergeCell ref="C1:C2"/>
    <mergeCell ref="A3:C3"/>
    <mergeCell ref="B31:C3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oem</cp:lastModifiedBy>
  <cp:lastPrinted>2006-08-17T12:57:36Z</cp:lastPrinted>
  <dcterms:created xsi:type="dcterms:W3CDTF">2002-03-22T09:59:04Z</dcterms:created>
  <dcterms:modified xsi:type="dcterms:W3CDTF">2006-08-24T08:27:56Z</dcterms:modified>
  <cp:category/>
  <cp:version/>
  <cp:contentType/>
  <cp:contentStatus/>
</cp:coreProperties>
</file>