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0"/>
  </bookViews>
  <sheets>
    <sheet name="Z1" sheetId="1" r:id="rId1"/>
    <sheet name="Z 2" sheetId="2" r:id="rId2"/>
    <sheet name="Z 3 " sheetId="3" r:id="rId3"/>
    <sheet name="Z 4 " sheetId="4" r:id="rId4"/>
    <sheet name="z 5" sheetId="5" r:id="rId5"/>
    <sheet name="z6" sheetId="6" r:id="rId6"/>
    <sheet name="z7" sheetId="7" r:id="rId7"/>
    <sheet name="z8" sheetId="8" r:id="rId8"/>
    <sheet name="z9" sheetId="9" r:id="rId9"/>
    <sheet name="z10" sheetId="10" r:id="rId10"/>
    <sheet name="z11" sheetId="11" r:id="rId11"/>
  </sheets>
  <externalReferences>
    <externalReference r:id="rId14"/>
  </externalReferences>
  <definedNames>
    <definedName name="_xlnm.Print_Area" localSheetId="1">'Z 2'!$A$1:$Q$491</definedName>
    <definedName name="_xlnm.Print_Area" localSheetId="2">'Z 3 '!$A$1:$G$145</definedName>
    <definedName name="_xlnm.Print_Area" localSheetId="3">'Z 4 '!$A$1:$F$144</definedName>
    <definedName name="_xlnm.Print_Area" localSheetId="0">'Z1'!$A$1:$V$179</definedName>
    <definedName name="_xlnm.Print_Area" localSheetId="9">'z10'!$A$1:$C$38</definedName>
    <definedName name="_xlnm.Print_Area" localSheetId="6">'z7'!$A$1:$D$40</definedName>
    <definedName name="_xlnm.Print_Titles" localSheetId="1">'Z 2'!$4:$8</definedName>
  </definedNames>
  <calcPr fullCalcOnLoad="1"/>
</workbook>
</file>

<file path=xl/sharedStrings.xml><?xml version="1.0" encoding="utf-8"?>
<sst xmlns="http://schemas.openxmlformats.org/spreadsheetml/2006/main" count="2044" uniqueCount="791">
  <si>
    <t>Lp.</t>
  </si>
  <si>
    <t>WYSZCZEGÓLNIENIE</t>
  </si>
  <si>
    <t>Klasyfikacja</t>
  </si>
  <si>
    <t>Plan 2002</t>
  </si>
  <si>
    <t>Zmiana planu</t>
  </si>
  <si>
    <t>Plan  2003</t>
  </si>
  <si>
    <t>zwiększenia /+/</t>
  </si>
  <si>
    <t>zmniejszenia /-/</t>
  </si>
  <si>
    <t>Plan 2006</t>
  </si>
  <si>
    <t>Plan po zmianach</t>
  </si>
  <si>
    <t>Przewidywa-ne wykon. w 2000</t>
  </si>
  <si>
    <t>Plan 2001</t>
  </si>
  <si>
    <t>Wzrost w %   7:6</t>
  </si>
  <si>
    <t>strukt. procentowa</t>
  </si>
  <si>
    <t>zwiększenia (+)</t>
  </si>
  <si>
    <t>zmniejszenia (-)</t>
  </si>
  <si>
    <t>/+/ zwiększenia</t>
  </si>
  <si>
    <t xml:space="preserve"> /-/ zmniejszenia</t>
  </si>
  <si>
    <t>p.w. 2000</t>
  </si>
  <si>
    <t>Nazwa działu, rozdziału</t>
  </si>
  <si>
    <t>Dz.</t>
  </si>
  <si>
    <t>Rozdział</t>
  </si>
  <si>
    <t>§</t>
  </si>
  <si>
    <t>1.</t>
  </si>
  <si>
    <t>Rolnictwo i łowiectwo</t>
  </si>
  <si>
    <t>010</t>
  </si>
  <si>
    <t>a)</t>
  </si>
  <si>
    <t>Prace geodezyjno - urządzeniowe na potrzeby rolnictwa</t>
  </si>
  <si>
    <t>01005</t>
  </si>
  <si>
    <t>b)</t>
  </si>
  <si>
    <t>Pozostała działalność</t>
  </si>
  <si>
    <t>01095</t>
  </si>
  <si>
    <t>wpływy z różnych opłat</t>
  </si>
  <si>
    <t>0690</t>
  </si>
  <si>
    <t>2.</t>
  </si>
  <si>
    <t>Leśnictwo</t>
  </si>
  <si>
    <t>020</t>
  </si>
  <si>
    <t>Gospodarka leśna</t>
  </si>
  <si>
    <t>02001</t>
  </si>
  <si>
    <t>Środki otrzymane od pozostałych jedn. sektora f.p.</t>
  </si>
  <si>
    <t>2460</t>
  </si>
  <si>
    <t>3.</t>
  </si>
  <si>
    <t>Transport i Łączność</t>
  </si>
  <si>
    <t>600</t>
  </si>
  <si>
    <t>drogi publiczne powiatowe</t>
  </si>
  <si>
    <t>60014</t>
  </si>
  <si>
    <t>grzywny, mandaty i inne kary pieniężne od ludności</t>
  </si>
  <si>
    <t>0570</t>
  </si>
  <si>
    <t>dochody z najmu i dzierżawy składników majątkowych</t>
  </si>
  <si>
    <t>0750</t>
  </si>
  <si>
    <t>wpływy ze sprzedaży skł.majątk.</t>
  </si>
  <si>
    <t>0870</t>
  </si>
  <si>
    <t>pozostałe odsetki</t>
  </si>
  <si>
    <t>0920</t>
  </si>
  <si>
    <t>wpływy z różnych dochodów</t>
  </si>
  <si>
    <t>0970</t>
  </si>
  <si>
    <t>Wpływy z różnych odochodów</t>
  </si>
  <si>
    <t>097</t>
  </si>
  <si>
    <t xml:space="preserve">środki na finan. własnych inwest. pozysk.z innych źródeł </t>
  </si>
  <si>
    <t>6298</t>
  </si>
  <si>
    <t>środki na finansowanie własnych inwest.pozysk. z innych źródeł</t>
  </si>
  <si>
    <t>6439</t>
  </si>
  <si>
    <t>dotacje celowe otrzymane z gmin na inwestycje</t>
  </si>
  <si>
    <t>4.</t>
  </si>
  <si>
    <t>Gospodarka mieszkaniowa oraz niemat.usł.komun.</t>
  </si>
  <si>
    <t>700</t>
  </si>
  <si>
    <t>Gospodarka gruntami i nieruchomościami.</t>
  </si>
  <si>
    <t>70005</t>
  </si>
  <si>
    <t>wpływy z różnych doch.</t>
  </si>
  <si>
    <t>dotacje celowe z zakresu administracji rządowej</t>
  </si>
  <si>
    <t>5.</t>
  </si>
  <si>
    <t>Działalność usługowa</t>
  </si>
  <si>
    <t>Prace geodezyjne i kartograficzne (nieinwestycyjne)</t>
  </si>
  <si>
    <t>Opracowania geodezyjne i kartograficzne</t>
  </si>
  <si>
    <t>c)</t>
  </si>
  <si>
    <t>Nadzór budowlany</t>
  </si>
  <si>
    <t>6.</t>
  </si>
  <si>
    <t>Administracja publiczna</t>
  </si>
  <si>
    <t xml:space="preserve">Urzędy wojewódzkie                                 </t>
  </si>
  <si>
    <t>Starostwa Powiatowe</t>
  </si>
  <si>
    <t>wpływy z opłaty komunikacyjnej</t>
  </si>
  <si>
    <t>0420</t>
  </si>
  <si>
    <t>wpływy z usług</t>
  </si>
  <si>
    <t>0830</t>
  </si>
  <si>
    <t>Komisje poborowe</t>
  </si>
  <si>
    <t>7.</t>
  </si>
  <si>
    <t>Bezpieczeństwo publiczne i ochrona przeciwpożarowa</t>
  </si>
  <si>
    <t>Komendy Powiatowe Państwowej Straży Pożarnej</t>
  </si>
  <si>
    <t>Dotacje celowe otrzymane z samorządu województwa na inwestycje i zakupy inwestycyjne realizowane na podstawie z j.s.t.</t>
  </si>
  <si>
    <t>Obrona cywilna</t>
  </si>
  <si>
    <t>75095</t>
  </si>
  <si>
    <t>Spadki, zapisy i darowizny w formie pieniężnej</t>
  </si>
  <si>
    <t>096</t>
  </si>
  <si>
    <t>Komendy Powiatowe Policji</t>
  </si>
  <si>
    <t>092</t>
  </si>
  <si>
    <t>75411</t>
  </si>
  <si>
    <t>8.</t>
  </si>
  <si>
    <t>Dochody od osób prawnych,  fizycznych i  innych jedn.nie posiad.osobow.prawnej</t>
  </si>
  <si>
    <t>756</t>
  </si>
  <si>
    <t>Udziały powiatu w podatkach stanow.dochód budżetu państwa</t>
  </si>
  <si>
    <t>75622</t>
  </si>
  <si>
    <t>podatek doch.od osób fizyczn.</t>
  </si>
  <si>
    <t>0010</t>
  </si>
  <si>
    <t>podatek doch.od osób prawnych</t>
  </si>
  <si>
    <t>0020</t>
  </si>
  <si>
    <t>9.</t>
  </si>
  <si>
    <t>Różne rozliczenia</t>
  </si>
  <si>
    <t>część oświatowa subwencji ogólnej dla jst</t>
  </si>
  <si>
    <t>subwencje ogólne z udżetu państwa</t>
  </si>
  <si>
    <t>2920</t>
  </si>
  <si>
    <t>część wyrównawcza subwencji ogólnej dla powiatów</t>
  </si>
  <si>
    <t>subwencje ogólne z budżetu państwa</t>
  </si>
  <si>
    <t>subwencja uzupełniająca części wyrównwczej subwencji ogólnej</t>
  </si>
  <si>
    <t>Różne rozliczenia finansowe</t>
  </si>
  <si>
    <t>d)</t>
  </si>
  <si>
    <t>część równoważąca subwencji ogólnej dla powiatów</t>
  </si>
  <si>
    <t>subwencja ogólna z budżetu państwa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</si>
  <si>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</si>
  <si>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</si>
  <si>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</si>
  <si>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10.</t>
  </si>
  <si>
    <t>Oświata i wychowanie</t>
  </si>
  <si>
    <t>801</t>
  </si>
  <si>
    <t>Licea Ogólnokształcące</t>
  </si>
  <si>
    <t>80120</t>
  </si>
  <si>
    <t xml:space="preserve">dochody z najmu i dzierżawy składników majątkowych </t>
  </si>
  <si>
    <t>Szkoły zawodowe</t>
  </si>
  <si>
    <t>80130</t>
  </si>
  <si>
    <t>11.</t>
  </si>
  <si>
    <t>Szkolnictwo wyższe</t>
  </si>
  <si>
    <t>pomoc materialna dla studentów</t>
  </si>
  <si>
    <t>dotacja celowa otrzymana przez j.s.t. od innej j.s.t. będącej instytucją wdrażającą na zadania bieżące realizowane na podstawie porozumień i umów</t>
  </si>
  <si>
    <t>12.</t>
  </si>
  <si>
    <t>Ochrona zdrowia</t>
  </si>
  <si>
    <t>851</t>
  </si>
  <si>
    <t>Szpitale ogólne</t>
  </si>
  <si>
    <t>85111</t>
  </si>
  <si>
    <t>wpłaty z  zysku jednoosobowych spółek samorządu tertytorailnego</t>
  </si>
  <si>
    <t>0730</t>
  </si>
  <si>
    <t>dochody z najmu i dzierżawy skł.majątk.</t>
  </si>
  <si>
    <t>Skł.na ubezp.zdrow.dla os.nie obj.obow.ubezp.</t>
  </si>
  <si>
    <t>dotacje celowe na zadania z zakresu administracji rządowej</t>
  </si>
  <si>
    <t>13.</t>
  </si>
  <si>
    <t>Pomoc społeczna</t>
  </si>
  <si>
    <t>Placówki opiekuńczo - wychowawcze</t>
  </si>
  <si>
    <t>85201</t>
  </si>
  <si>
    <t>wpływy od rodziców z tyt. odpłatności za utrzymanie dzieci</t>
  </si>
  <si>
    <t>0680</t>
  </si>
  <si>
    <t xml:space="preserve">dotacje celowe otrzymane z powiatów na zadania bieżące </t>
  </si>
  <si>
    <t>Domy Pomocy Społecznej</t>
  </si>
  <si>
    <t>85202</t>
  </si>
  <si>
    <t>dotacje celowe na zadania własne powiatu</t>
  </si>
  <si>
    <t>Rodziny zastępcze</t>
  </si>
  <si>
    <t>85204</t>
  </si>
  <si>
    <t>2320</t>
  </si>
  <si>
    <t>Pow.Centra Pomocy Rodzinie</t>
  </si>
  <si>
    <t>85218</t>
  </si>
  <si>
    <t>Pozostałe zadania w zakresie polityki społecznej</t>
  </si>
  <si>
    <t>853</t>
  </si>
  <si>
    <t>PFRON</t>
  </si>
  <si>
    <t>85324</t>
  </si>
  <si>
    <t>datacje na realizację zadań bieżących jednostek sektora  finansów publicznych</t>
  </si>
  <si>
    <t>2440</t>
  </si>
  <si>
    <t>dotacja na dofinansowanie kosztów realizacji zakupów inwestycyjnych jednostek sektora finansów publicznych</t>
  </si>
  <si>
    <t>6260</t>
  </si>
  <si>
    <t>Powiatowe Urzędy Pracy</t>
  </si>
  <si>
    <t>85333</t>
  </si>
  <si>
    <t>15.</t>
  </si>
  <si>
    <t>Edukacyjna opieka wychowawcza</t>
  </si>
  <si>
    <t>854</t>
  </si>
  <si>
    <t>Specjalne ośrodki szkolno - wychowawcze</t>
  </si>
  <si>
    <t>85403</t>
  </si>
  <si>
    <t>wpływy od rodziców z tyt.odpłatności z utrzym.dzieci</t>
  </si>
  <si>
    <t>Poradnie psychologiczno-pedagogiczne</t>
  </si>
  <si>
    <t>85406</t>
  </si>
  <si>
    <t>Internaty i bursy szkolne</t>
  </si>
  <si>
    <t>85410</t>
  </si>
  <si>
    <t>środki na dofin.własnych inwest. pozyskane z innych źródeł</t>
  </si>
  <si>
    <t>6291</t>
  </si>
  <si>
    <t>Pomoc materialna dla uczniów</t>
  </si>
  <si>
    <t>85415</t>
  </si>
  <si>
    <t>16.</t>
  </si>
  <si>
    <t>Gospodarka komunalna i ochrona środowiska</t>
  </si>
  <si>
    <t>Fundusz Ochrony Środowiska i Gospodarki Wodnej</t>
  </si>
  <si>
    <t>17.</t>
  </si>
  <si>
    <t>Kultura i ochrona dziedzictwa narodowego</t>
  </si>
  <si>
    <t>Biblioteki</t>
  </si>
  <si>
    <t>dot.cel.otrzymane z samorz.woj..na zak.inwest.na podst.umów</t>
  </si>
  <si>
    <t>DOCHODY OGÓŁEM</t>
  </si>
  <si>
    <t>1. Dotacje celowe</t>
  </si>
  <si>
    <t>- na zadania własne (§ 2130 i § 6430)</t>
  </si>
  <si>
    <t>- na zadania zlecone (§ 2110 i § 2120)</t>
  </si>
  <si>
    <t xml:space="preserve">- w ramach porozumień (umów) z j.s.t </t>
  </si>
  <si>
    <t>- z funduszy celowych (§ 6260 i 2440)</t>
  </si>
  <si>
    <t>- pozostałe dotacje ( z f.cel.) i środki z innych źródeł</t>
  </si>
  <si>
    <t xml:space="preserve">2. Dochody własne </t>
  </si>
  <si>
    <t xml:space="preserve">                                                 Przewodniczący Rady Powiatu: Wacław Sapieha</t>
  </si>
  <si>
    <t>Przewodniczący Rady Powiatu: Wacław Sapieha</t>
  </si>
  <si>
    <r>
      <t xml:space="preserve">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</si>
  <si>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PLAN WYDATKÓW BUDŻETU POWIATU NA ROK 2006</t>
  </si>
  <si>
    <t>Dział, rozdz.</t>
  </si>
  <si>
    <t>wyszczególnienie nazwa działu,rozdz.</t>
  </si>
  <si>
    <t>plan 2003</t>
  </si>
  <si>
    <t>zmiana planu</t>
  </si>
  <si>
    <t>Plan  2006</t>
  </si>
  <si>
    <t>zwiększenie /+/</t>
  </si>
  <si>
    <t>zmniejszenie   /-/</t>
  </si>
  <si>
    <t>w tym</t>
  </si>
  <si>
    <t>przewid. wykon.w 2000</t>
  </si>
  <si>
    <t>Zwieksze -nia (+)</t>
  </si>
  <si>
    <t>zmniejsze-nia (-)</t>
  </si>
  <si>
    <t>zad.z zakresu admin.rząd.</t>
  </si>
  <si>
    <t>zadakia właske</t>
  </si>
  <si>
    <t>porozum.i umowy</t>
  </si>
  <si>
    <t>ROLNICTWO I ŁOWIECTWO</t>
  </si>
  <si>
    <t>01021</t>
  </si>
  <si>
    <t>Inspekcja Weterynaryjna</t>
  </si>
  <si>
    <t>3020</t>
  </si>
  <si>
    <t>Wyd. os.nie zalicz.do wynagr.</t>
  </si>
  <si>
    <t>3030</t>
  </si>
  <si>
    <t>Różne wydatki narzecz os.fiz.</t>
  </si>
  <si>
    <t>4010</t>
  </si>
  <si>
    <t>Wynagr.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</si>
  <si>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</si>
  <si>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</si>
  <si>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</si>
  <si>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</si>
  <si>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</si>
  <si>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</si>
  <si>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</si>
  <si>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</si>
  <si>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</si>
  <si>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</si>
  <si>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</si>
  <si>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</si>
  <si>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</si>
  <si>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</si>
  <si>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</si>
  <si>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</si>
  <si>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</si>
  <si>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</si>
  <si>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</si>
  <si>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</si>
  <si>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</si>
  <si>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</si>
  <si>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01022</t>
  </si>
  <si>
    <t>Zwalczanie chorób zakaźnych zwierząt</t>
  </si>
  <si>
    <t>Prace geodezyjno-urządz. na potrzeby rolnictwa</t>
  </si>
  <si>
    <t>2310</t>
  </si>
  <si>
    <t>dotacje cel.przekaz.gminie na podst.porozumień z jst</t>
  </si>
  <si>
    <t>LEŚNICTWO</t>
  </si>
  <si>
    <t>Różne wydatki na rzecz os.fiz.</t>
  </si>
  <si>
    <t>02002</t>
  </si>
  <si>
    <t>Nadzór nad gospodarką leśną</t>
  </si>
  <si>
    <t>TRANSPORT I ŁĄCZNOŚĆ</t>
  </si>
  <si>
    <t>Drogi publicz.powiatowe</t>
  </si>
  <si>
    <t>Dotacje przekazane gminie</t>
  </si>
  <si>
    <t>nagrody i wyd.nie zal.do wynagr.</t>
  </si>
  <si>
    <t>Wynagrodzenia osobowe pracowników</t>
  </si>
  <si>
    <t>4110</t>
  </si>
  <si>
    <t>Składki na ubez.społeczne</t>
  </si>
  <si>
    <t>4170</t>
  </si>
  <si>
    <t>Wynagrodzenia bezosobowe</t>
  </si>
  <si>
    <t>zakup materiałów i wyposażenia</t>
  </si>
  <si>
    <t>4350</t>
  </si>
  <si>
    <t>Opłaty za usługi internetowe</t>
  </si>
  <si>
    <t>4480</t>
  </si>
  <si>
    <t>Podatek od nieruchomości</t>
  </si>
  <si>
    <t>6050</t>
  </si>
  <si>
    <t>Wyd. inwest.jed.budż.</t>
  </si>
  <si>
    <t>6060</t>
  </si>
  <si>
    <t>Wydatki na zakupy inwestycyjne</t>
  </si>
  <si>
    <t>6058</t>
  </si>
  <si>
    <t>Wydatki inwest.jedn.budżet.</t>
  </si>
  <si>
    <t>6059</t>
  </si>
  <si>
    <t>GOSPODARKA MIESZKANIOWA ORAZ NIEMAT.USŁUGI KOMUNAL.</t>
  </si>
  <si>
    <t>Gospodarka gruntami i nieruchomościami</t>
  </si>
  <si>
    <t>wynagrodzenia bezosobowe</t>
  </si>
  <si>
    <t>Zakup usług remontowych</t>
  </si>
  <si>
    <t>4500</t>
  </si>
  <si>
    <t>Pozostałe podatki na rzecz j.s.t.</t>
  </si>
  <si>
    <t>4520</t>
  </si>
  <si>
    <t>Opłaty na rzecz j.s.t.</t>
  </si>
  <si>
    <t>710</t>
  </si>
  <si>
    <t>DZIAŁALNOŚĆ USŁUGOWA</t>
  </si>
  <si>
    <t>71013</t>
  </si>
  <si>
    <t>71014</t>
  </si>
  <si>
    <t>Opracowania geodez. i kartogr.</t>
  </si>
  <si>
    <t>71015</t>
  </si>
  <si>
    <t>Wynagr. os. czł. korp. sł. cywiln.</t>
  </si>
  <si>
    <t xml:space="preserve">4110 </t>
  </si>
  <si>
    <t>Zakup energii</t>
  </si>
  <si>
    <t>750</t>
  </si>
  <si>
    <t>ADMINISTRACJA PUBLICZNA</t>
  </si>
  <si>
    <t>75011</t>
  </si>
  <si>
    <t>Urzędy wojewódzkie</t>
  </si>
  <si>
    <t>Składki na ubezp. Społeczne</t>
  </si>
  <si>
    <t>Zakup usług pozostałych</t>
  </si>
  <si>
    <t>75018</t>
  </si>
  <si>
    <t>Urzędy marszałkowskie</t>
  </si>
  <si>
    <t>2330</t>
  </si>
  <si>
    <t>Dotacje celowe przekazane do samorządu województwa</t>
  </si>
  <si>
    <t>75019</t>
  </si>
  <si>
    <t>Rady powiatów</t>
  </si>
  <si>
    <t>4420</t>
  </si>
  <si>
    <t>Podróże służbowe zagraniczne</t>
  </si>
  <si>
    <t>75020</t>
  </si>
  <si>
    <t>Starostwa powiatowe</t>
  </si>
  <si>
    <t>Nagr.i wyd.nie zal.do wynagr</t>
  </si>
  <si>
    <t>Usługi internetowe</t>
  </si>
  <si>
    <t>4610</t>
  </si>
  <si>
    <t>Koszty postępow. sądow. i prok.</t>
  </si>
  <si>
    <t>Dotacje dla gmin</t>
  </si>
  <si>
    <t>6649</t>
  </si>
  <si>
    <t>Dotacje celowe przekazane j.s.t. przez inną j.s.t. będącą instytucją wdrażającą na inwestycje i zakupy inwestycyjne realizowane na pdst.porozumień i umów</t>
  </si>
  <si>
    <t>75045</t>
  </si>
  <si>
    <t>Składki na ubezp.społeczne</t>
  </si>
  <si>
    <t>75075</t>
  </si>
  <si>
    <t>Promocja jednostek samorządu terytorialnego</t>
  </si>
  <si>
    <t>Dotacje celowe przekazane gminie</t>
  </si>
  <si>
    <t xml:space="preserve">Wynagrodzenia osobowe </t>
  </si>
  <si>
    <t>różne opłaty i składki</t>
  </si>
  <si>
    <t>754</t>
  </si>
  <si>
    <t>BEZPIECZEŃSTWO PUBLICZNE I OCHRONA PRZECIWPOŻAROWA</t>
  </si>
  <si>
    <t>Komendy Powiatowe Państ. Straży Pożarnej</t>
  </si>
  <si>
    <t>3070</t>
  </si>
  <si>
    <t>Wydatki osob.nie zal.do wynagr.</t>
  </si>
  <si>
    <t>Wyn.osob. korpusu sł.cywilnej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</si>
  <si>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</si>
  <si>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</si>
  <si>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</si>
  <si>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</si>
  <si>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</si>
  <si>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</si>
  <si>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4180</t>
  </si>
  <si>
    <t>Równoważniki i ekwiwalenty</t>
  </si>
  <si>
    <t>4250</t>
  </si>
  <si>
    <t>Zakup sprzętu i uzbrojenia</t>
  </si>
  <si>
    <t>4280</t>
  </si>
  <si>
    <t>Zakup usług zdrowotnych</t>
  </si>
  <si>
    <t>75414</t>
  </si>
  <si>
    <t>Zakup usług pozostałych`</t>
  </si>
  <si>
    <t>757</t>
  </si>
  <si>
    <t>OBSŁUGA DŁUGU PUBL.</t>
  </si>
  <si>
    <t>75702</t>
  </si>
  <si>
    <t>Obsługa papierów wart., kredytów i pożyczek j.s.t.</t>
  </si>
  <si>
    <t>8070</t>
  </si>
  <si>
    <t xml:space="preserve">odsetki  od kraj. poż. i kredyt. </t>
  </si>
  <si>
    <t>75704</t>
  </si>
  <si>
    <t>Rozliczenie z tyt.poręczeń i gwarancji udzielonych przez Skarb Państwa lub jednostki samorządu terytorialnego</t>
  </si>
  <si>
    <t>8020</t>
  </si>
  <si>
    <t>Wypłaty z tyt. poręczeń i gwarancji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</si>
  <si>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</si>
  <si>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</si>
  <si>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</si>
  <si>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</si>
  <si>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</si>
  <si>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</si>
  <si>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</si>
  <si>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</si>
  <si>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</si>
  <si>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Szkoły podstawowe specjalne</t>
  </si>
  <si>
    <t>nagr.i wydatki nie zal.do wynagr.</t>
  </si>
  <si>
    <t>Zakup mater. i wyposażenia</t>
  </si>
  <si>
    <t>2540</t>
  </si>
  <si>
    <t>Dot.podmiot z budż. dla szkół niepub. (Centr.Ed. Spec.w Olecku)</t>
  </si>
  <si>
    <t>80105</t>
  </si>
  <si>
    <t>Przedszkola specjalne</t>
  </si>
  <si>
    <t>80111</t>
  </si>
  <si>
    <t>Gimnazja specjalne</t>
  </si>
  <si>
    <t>zakup materiałów i wyposaż.</t>
  </si>
  <si>
    <t>Dot.podmiot z budż. dla szkół niepub. (Centr.Ed. Spec.przy Środ.D.S.w Olecku")</t>
  </si>
  <si>
    <t>Nagr.i wyd.nie zal.do wynagr.</t>
  </si>
  <si>
    <t>4140</t>
  </si>
  <si>
    <t>wpłaty na PFRON</t>
  </si>
  <si>
    <t>zakup pomocy dydakt.i książek</t>
  </si>
  <si>
    <t xml:space="preserve">dot. podmiot. z budż. dla szkół niepublicznych:  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</si>
  <si>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</si>
  <si>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</si>
  <si>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</si>
  <si>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</si>
  <si>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</si>
  <si>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</si>
  <si>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</si>
  <si>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Koszty postępow.sąd.i prokurat.</t>
  </si>
  <si>
    <t>wydatki inwest. jednost. budżet.</t>
  </si>
  <si>
    <t xml:space="preserve">Dot.podmiot z budż. dla szkół niepub.  </t>
  </si>
  <si>
    <t>80134</t>
  </si>
  <si>
    <t>Szkoły zawodowe specjalne</t>
  </si>
  <si>
    <t>80145</t>
  </si>
  <si>
    <t>Komisje egzaminacyjne</t>
  </si>
  <si>
    <t>80146</t>
  </si>
  <si>
    <t>Placówki dokształcania i doskonalenia nauczycieli</t>
  </si>
  <si>
    <t>Dot. cel.przekazane powiatowi</t>
  </si>
  <si>
    <t>3250</t>
  </si>
  <si>
    <t>Stypendia różne</t>
  </si>
  <si>
    <t>80195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</si>
  <si>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</si>
  <si>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</si>
  <si>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</si>
  <si>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</si>
  <si>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</si>
  <si>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</si>
  <si>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</si>
  <si>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</si>
  <si>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</si>
  <si>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4219</t>
  </si>
  <si>
    <t>4308</t>
  </si>
  <si>
    <t>4309</t>
  </si>
  <si>
    <t>OCHRONA ZDROWIA</t>
  </si>
  <si>
    <t>2560</t>
  </si>
  <si>
    <t>dot. podmiot. z budż. dla SP ZOZ</t>
  </si>
  <si>
    <t>wydatki inwestycyjne jednostek budżetowych</t>
  </si>
  <si>
    <t>85154</t>
  </si>
  <si>
    <t xml:space="preserve">Przeciwdziałanie alkoholizmowi </t>
  </si>
  <si>
    <t>85156</t>
  </si>
  <si>
    <t>Skł. na ubezp. zdrow.osób nie obj. obow.ubezp.zdrow.</t>
  </si>
  <si>
    <t>4130</t>
  </si>
  <si>
    <t>Składki na ubezp.zdrow.</t>
  </si>
  <si>
    <t>852</t>
  </si>
  <si>
    <t>POMOC SPOŁECZNA</t>
  </si>
  <si>
    <t>Plac. opiekuń - wychowaw.</t>
  </si>
  <si>
    <t>Nagr.i wydat.nie zal.do wynagr.</t>
  </si>
  <si>
    <t>3110</t>
  </si>
  <si>
    <t>Świadczenia społeczne</t>
  </si>
  <si>
    <t>4220</t>
  </si>
  <si>
    <t>zakup środków żywności</t>
  </si>
  <si>
    <t>4230</t>
  </si>
  <si>
    <t>zakup leków i mater.medycz.</t>
  </si>
  <si>
    <t>Zakup usług internetowych</t>
  </si>
  <si>
    <t>Dotacje celowe przekazane dla powiatu na zadania bieżące</t>
  </si>
  <si>
    <t>Opłaty na rzecz jst.</t>
  </si>
  <si>
    <t>Wydatki inwestycyjne</t>
  </si>
  <si>
    <t xml:space="preserve">Rodziny zastępcze </t>
  </si>
  <si>
    <t>Dotacje celowe przek.gminie</t>
  </si>
  <si>
    <t>Dotacje celowe przek.powiatowi</t>
  </si>
  <si>
    <t>Powiatowe Centrum Pomocy Rodzinie</t>
  </si>
  <si>
    <t>Koszty post.sądowego i prok.</t>
  </si>
  <si>
    <t>85220</t>
  </si>
  <si>
    <t>Jednostki specjalistycznego poradnictwa, mieszkania chronione i ośrodki interwencji kryzysowej</t>
  </si>
  <si>
    <t>Zakup leków i środków medycznych</t>
  </si>
  <si>
    <t>85233</t>
  </si>
  <si>
    <t>Dokształcanie i doskonalenie nauczycieli</t>
  </si>
  <si>
    <t>85295</t>
  </si>
  <si>
    <t>Odpis na ZFŚS naucz.emerytów</t>
  </si>
  <si>
    <t>Składki na ubezp. społeczne</t>
  </si>
  <si>
    <t>Nagr.i wyd.nie zal.do wynagrodzeń</t>
  </si>
  <si>
    <t>EDUKACYJNA OPIEKA WYCHOWAWCZA</t>
  </si>
  <si>
    <t>Wydatki  inwestycyjne</t>
  </si>
  <si>
    <t>Poradnie Psychol- Pedagog.</t>
  </si>
  <si>
    <t>zakup pom.nauk.dydakt.książek</t>
  </si>
  <si>
    <t>6051</t>
  </si>
  <si>
    <t>Wydatki inwest.jedn.budżetowych</t>
  </si>
  <si>
    <t>6052</t>
  </si>
  <si>
    <t>Pomoc material. dla uczniów</t>
  </si>
  <si>
    <t>3240</t>
  </si>
  <si>
    <t>Stypendia  dla uczniów</t>
  </si>
  <si>
    <t>3248</t>
  </si>
  <si>
    <t>3249</t>
  </si>
  <si>
    <t>85417</t>
  </si>
  <si>
    <t>Szkolne schroniska młodz.</t>
  </si>
  <si>
    <t>dotacje cel. przek. gminie na zad. bieżące</t>
  </si>
  <si>
    <t>85495</t>
  </si>
  <si>
    <t>Odpis na zakładowy fundusz świadczeń socjalnych</t>
  </si>
  <si>
    <t>921</t>
  </si>
  <si>
    <t>KULTURA I OCHRONA DZIEDZICTWA NAROD.</t>
  </si>
  <si>
    <t>92116</t>
  </si>
  <si>
    <t>dot. cel. przek. gminie na zad. bież real. na podst.poroz.j.s.t.</t>
  </si>
  <si>
    <t>Wydatki inwestycyjne jednostek budżetowych</t>
  </si>
  <si>
    <t>92195</t>
  </si>
  <si>
    <t>wydatki rzeczowe</t>
  </si>
  <si>
    <t>dot. cel. przek.  na zad. bież real. na podst.por.między j.s.t.</t>
  </si>
  <si>
    <t>926</t>
  </si>
  <si>
    <t>KULTURA FIZYCZNA I SPORT</t>
  </si>
  <si>
    <t>92601</t>
  </si>
  <si>
    <t>Obiekty sportowe</t>
  </si>
  <si>
    <t>Wydatki inwest.jednost. budżet</t>
  </si>
  <si>
    <t>92695</t>
  </si>
  <si>
    <t>2820</t>
  </si>
  <si>
    <t>Dotacje celowe z budżetu na dofinansinansowanie zadań zleconych do realizacji stowarzyszeniom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</si>
  <si>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</si>
  <si>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</si>
  <si>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</si>
  <si>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</si>
  <si>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</si>
  <si>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</si>
  <si>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 xml:space="preserve">    dotacje (§ § 2310, 2320,2330, 2540,  2560, 2610,2820,2830, 2950)</t>
  </si>
  <si>
    <t xml:space="preserve">    na obsł. długu j.s.t., poręcz. i gwar.</t>
  </si>
  <si>
    <t>b) wydatki majątkowe, w tym:</t>
  </si>
  <si>
    <t>pozostałe wydatki majątkowe (§§ 6150,6610,6649)</t>
  </si>
  <si>
    <t>wydatki inwestycyjne (§§ 6050,6052,6059,6060)</t>
  </si>
  <si>
    <t xml:space="preserve">                                                                          </t>
  </si>
  <si>
    <t xml:space="preserve">  </t>
  </si>
  <si>
    <t>Przewodniczący Rady Powiatu: Juliusz Uss</t>
  </si>
  <si>
    <t xml:space="preserve">Przewodkiczący Rady Powiatu </t>
  </si>
  <si>
    <t>Wacław Sapieha</t>
  </si>
  <si>
    <t>Dochody i wydatki związane z realizacją zadań z zakresu administracji rządowej zleconych powiatowi i innych zadań zleconych ustawami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</si>
  <si>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</si>
  <si>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</si>
  <si>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</si>
  <si>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</si>
  <si>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</si>
  <si>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I</t>
  </si>
  <si>
    <t>DOCHODY SKARBU PAŃSTWA</t>
  </si>
  <si>
    <t xml:space="preserve"> </t>
  </si>
  <si>
    <t>01008</t>
  </si>
  <si>
    <t>2350</t>
  </si>
  <si>
    <t>Melioracje wodne</t>
  </si>
  <si>
    <t>II</t>
  </si>
  <si>
    <t>DOCHODY I WYDATKI ZWIĄZANE Z REALIZACJĄ ZADAŃ ZLECONYCH</t>
  </si>
  <si>
    <t>2110</t>
  </si>
  <si>
    <t>211</t>
  </si>
  <si>
    <t>Inspekcja weterynaryjna</t>
  </si>
  <si>
    <t>Dodatkowe wynagr. roczne</t>
  </si>
  <si>
    <t xml:space="preserve">Składki na ubezp. społeczne </t>
  </si>
  <si>
    <t>Wydatki rzeczowe</t>
  </si>
  <si>
    <t>Pozostałe podatki na rzecz jst</t>
  </si>
  <si>
    <t>4580</t>
  </si>
  <si>
    <t>4590</t>
  </si>
  <si>
    <t>kary i odszkod.na rzecz os.fiz.</t>
  </si>
  <si>
    <t>Różne wydatki na rzecz osób fiz.</t>
  </si>
  <si>
    <t>75405</t>
  </si>
  <si>
    <t>Nagrody i wydat. nie zal.do wyn.</t>
  </si>
  <si>
    <t>Wyn.osobowe korpusu służby cywilnej</t>
  </si>
  <si>
    <t>Dodatkowe wynagrodzenie roczne</t>
  </si>
  <si>
    <t>Uposaż. żołnierzy zawod. i nadtermin. oraz funkcjonar.</t>
  </si>
  <si>
    <t>Pozostałe należn. funkcjonar.</t>
  </si>
  <si>
    <t>4080</t>
  </si>
  <si>
    <t>Uposaż.żołnierzy zawod. i nadtermin.oraz funkcjon. zwol. ze służby</t>
  </si>
  <si>
    <t xml:space="preserve">Składki na ubezp.społeczne </t>
  </si>
  <si>
    <t>Zakup środkó żywności</t>
  </si>
  <si>
    <t>Wydatki osobowe nie zaliczne do wynagrodzeń</t>
  </si>
  <si>
    <t>Wynagr.osobow.korpusu służby cywilnej</t>
  </si>
  <si>
    <t>Równiważniki i ekwiwalenty</t>
  </si>
  <si>
    <t>Opłaty na rzecz jst</t>
  </si>
  <si>
    <t>Składki na ubezp.zdr.os.nie obj.obow.ubezp.</t>
  </si>
  <si>
    <t>Składki na ubezp.zdrowotne</t>
  </si>
  <si>
    <t>85318</t>
  </si>
  <si>
    <t>RAZEM:</t>
  </si>
  <si>
    <t>Przewodniczący Rady: Wacław Sapieha</t>
  </si>
  <si>
    <t>Dochody i wydatki związane z realizacją zadań wspólnych realizowanych w drodze umów (porozumień)                 z jednostkami samorządu terytorialnego</t>
  </si>
  <si>
    <t>Dochody</t>
  </si>
  <si>
    <t>UMOWY</t>
  </si>
  <si>
    <t xml:space="preserve">Komendy Powiatowe Państwowej Straży Pożarnej </t>
  </si>
  <si>
    <t>w tym:</t>
  </si>
  <si>
    <t>Urząd Marszałkowski</t>
  </si>
  <si>
    <t>POROZUMIENIA</t>
  </si>
  <si>
    <t>Drogi publiczne powiatowe</t>
  </si>
  <si>
    <t xml:space="preserve"> - Gmina Świętajno</t>
  </si>
  <si>
    <t xml:space="preserve"> Gmina Olecko</t>
  </si>
  <si>
    <t xml:space="preserve"> Gmina Świętajno</t>
  </si>
  <si>
    <t xml:space="preserve"> Gmina Kowale Oleckie</t>
  </si>
  <si>
    <t xml:space="preserve"> Gmina Świętajno </t>
  </si>
  <si>
    <t xml:space="preserve"> Gmina Wieliczki</t>
  </si>
  <si>
    <t xml:space="preserve"> Wieliczki</t>
  </si>
  <si>
    <t>Samorząd województwa</t>
  </si>
  <si>
    <t xml:space="preserve"> - Gmina Olecko</t>
  </si>
  <si>
    <t xml:space="preserve"> - Gmina Wieliczki</t>
  </si>
  <si>
    <t>Ośrodki informacji turystycznej</t>
  </si>
  <si>
    <t xml:space="preserve"> - dotacja z samorządu wojewódzkiego</t>
  </si>
  <si>
    <t xml:space="preserve"> - Gmina Kowale Oleckie</t>
  </si>
  <si>
    <t>Placówki dokształc.i doskon.naucz.</t>
  </si>
  <si>
    <t xml:space="preserve"> Powiat ełcki</t>
  </si>
  <si>
    <t>Placówki opiekuńczo-wychowawcze</t>
  </si>
  <si>
    <t>Powiat Gołdap</t>
  </si>
  <si>
    <t>Powiat Węgorzewo</t>
  </si>
  <si>
    <t>Powiat Suwałki</t>
  </si>
  <si>
    <t>Powiat Ełk</t>
  </si>
  <si>
    <t>Szkolne Schroniska Młodzieżowe</t>
  </si>
  <si>
    <t>- Gmina Dubeninki</t>
  </si>
  <si>
    <t>- Gmina Świętajno</t>
  </si>
  <si>
    <t xml:space="preserve">Powiat Bartoszyce </t>
  </si>
  <si>
    <t>Powiat Grajewo</t>
  </si>
  <si>
    <t>Powiat Sejny</t>
  </si>
  <si>
    <t>Miasto Suwałki</t>
  </si>
  <si>
    <t>Powiat suwalski</t>
  </si>
  <si>
    <t>Powiat augustowski</t>
  </si>
  <si>
    <t>Powiat gołdapski</t>
  </si>
  <si>
    <t>- Gmina Kowale Oleckie</t>
  </si>
  <si>
    <t xml:space="preserve"> - Urząd Marszałkowski w Olsztynie</t>
  </si>
  <si>
    <t>Dotacja dla samorządu województwa</t>
  </si>
  <si>
    <t>Gmina Wieliczki</t>
  </si>
  <si>
    <t xml:space="preserve">Gmina Świętajno          </t>
  </si>
  <si>
    <t xml:space="preserve">Gmina Olecko          </t>
  </si>
  <si>
    <t>Gmina Kowale Oleckie</t>
  </si>
  <si>
    <t>Gmina Świętajno</t>
  </si>
  <si>
    <t>Schroniska  młodzieżowe</t>
  </si>
  <si>
    <t xml:space="preserve">Gmina Olecko  (biblioteka)        </t>
  </si>
  <si>
    <t>RAZEM UMOWY I POROZUMIENIA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</si>
  <si>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</si>
  <si>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</si>
  <si>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</si>
  <si>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Nazwa zadania inwestycyjnego i okres realizacji (w latach)</t>
  </si>
  <si>
    <t>Łączne nakłady finansowe (6+7+12+13)</t>
  </si>
  <si>
    <t>Poniesione nakłady do końca 2005 roku</t>
  </si>
  <si>
    <t>Planowane nakłady</t>
  </si>
  <si>
    <t>Jednostki organizac. realiz. zadanie lub koordynuj. program</t>
  </si>
  <si>
    <t>rok budżetowy 2006 (7+8+9+10+11)</t>
  </si>
  <si>
    <t>w tym źródła finansowania</t>
  </si>
  <si>
    <t>2007r.</t>
  </si>
  <si>
    <t>2008r.</t>
  </si>
  <si>
    <t>środki własne</t>
  </si>
  <si>
    <t>kredyty i pożyczki</t>
  </si>
  <si>
    <t xml:space="preserve">kredyty bankowe i pożyczki </t>
  </si>
  <si>
    <t>środki pochodzące z innych źródeł</t>
  </si>
  <si>
    <t>Środki wymienione w art..3 ust.1pkt 2 i 2a u.f.p</t>
  </si>
  <si>
    <t>Modernizacja drogi powiatowej nr 40454 Olecko-Świętajno (lata: 2001 - 2002)</t>
  </si>
  <si>
    <t>Powiatowy Zarząd Dróg w Olecku</t>
  </si>
  <si>
    <t>"Budowa drogi powiatowej nr 40491 Krupin-Wojnasy, etap I przez wieś Markowskie długości 951 m" w ramach ZPORR (lata: 2005-2006) *</t>
  </si>
  <si>
    <t>Powiatowy Zarząd Dróg       w Olecku</t>
  </si>
  <si>
    <t>"Przebudowa drogi powiatowej nr 40454Olecko-Świętajno-Dunajek km 7+350 do km 13+000 dł. 5,65 km" w ramach ZPORR (lata 2005-2007)**</t>
  </si>
  <si>
    <t>Powiatowy Zarząd Dróg      w Olecku</t>
  </si>
  <si>
    <t>Remont chodnika na ul Sembrzyckiego    z jednej strony od ulicy Armii Krajowej</t>
  </si>
  <si>
    <t>Opracowanie dokumentacji na ulice powiatowe miasta Olecko ( rok 2006)</t>
  </si>
  <si>
    <t>Starostwo Powiatowe        w Olecku</t>
  </si>
  <si>
    <t>Zakup programów komputerowych                      (rok 2006)</t>
  </si>
  <si>
    <t>Zakup zestawów ratowniczych</t>
  </si>
  <si>
    <t>Komenda Powiatowa Państwowej Straży Pożarnej w Olecku</t>
  </si>
  <si>
    <t>Wyposażenia bazy dydaktycznej            i rehabilitacyjnej  (lata 2005-2006)</t>
  </si>
  <si>
    <t>Ośrodek Szkolno-Wychowawczy dla Dzieci Głuchych w Olecku</t>
  </si>
  <si>
    <t>Przebudowa i modernizacja Szpitala Powiatowego w Olecku  (lata: 1986 - 2008)</t>
  </si>
  <si>
    <t>Przebudowa i modernizacja Szpitala Powiatowego w Olecku (k.ogrzewania) (lata: 1986-2008)</t>
  </si>
  <si>
    <t>Zakup i montaż platformy do przewozu osób niepełnosprawnych ( rok 2006)</t>
  </si>
  <si>
    <t>DPS w Kowalach Oleckich</t>
  </si>
  <si>
    <t>Zakup kserokopiarki i centrali telefonicznej (rok 2006)</t>
  </si>
  <si>
    <t>Powiatowy Urząd Pracy w Olecku</t>
  </si>
  <si>
    <t>Likwidacja barier architektonicznych        (lata 2005-2006)</t>
  </si>
  <si>
    <t>Realizacja zad.inwest."Mazurskie Centrum Edukacji i Inicjatyw Lokalnych" (lata: 2005-2006)</t>
  </si>
  <si>
    <t>Zespół Szkół Licealnych    i Zawodowych w Olecku</t>
  </si>
  <si>
    <t>Remont i adaptacja pomieszczeń na bibliotekę pedagodiczną (rok 2006)</t>
  </si>
  <si>
    <t>OGÓŁEM</t>
  </si>
  <si>
    <t>Przewodniczący Rady Powiatu</t>
  </si>
  <si>
    <t>Wacław  Sapieha</t>
  </si>
  <si>
    <t>Prognoza kwoty długu powiatu na lata 2005 - 2015</t>
  </si>
  <si>
    <t>Rodzaj zadłużenia</t>
  </si>
  <si>
    <t>Wykonanie na 31.12.2005</t>
  </si>
  <si>
    <t xml:space="preserve">  Kwoty długu na koniec roku w poszczególnych latach</t>
  </si>
  <si>
    <t xml:space="preserve">Kredyty zaciągnięte w latach poprzednich                                                                </t>
  </si>
  <si>
    <t>Pożyczki krajowe (z WFOŚiGW)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</si>
  <si>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</si>
  <si>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</si>
  <si>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</si>
  <si>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</si>
  <si>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</si>
  <si>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</si>
  <si>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</si>
  <si>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</si>
  <si>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</si>
  <si>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</si>
  <si>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</si>
  <si>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</si>
  <si>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</si>
  <si>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</si>
  <si>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 xml:space="preserve">Spłata kredytów zaciągniętych w  roku budżetowym </t>
  </si>
  <si>
    <t xml:space="preserve">Spłata kredytów zaciągniętych na zadania w ramach programów ZPORR </t>
  </si>
  <si>
    <t>Suma spłaconych kredytów i pożyczek</t>
  </si>
  <si>
    <t xml:space="preserve">Przewodniczący Rady Powiatu: Wacław Sapieha     </t>
  </si>
  <si>
    <t>Źródła sfinansowania deficytu lub rozdysponowania nadwyżki budżetowej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</si>
  <si>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</si>
  <si>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</si>
  <si>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</si>
  <si>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</si>
  <si>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</si>
  <si>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</si>
  <si>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</si>
  <si>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</si>
  <si>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</si>
  <si>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</si>
  <si>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Kredyty zaciągane w bankach krajowych</t>
  </si>
  <si>
    <t>§  9520</t>
  </si>
  <si>
    <t>Pożyczki (uzyskane)</t>
  </si>
  <si>
    <t>Pożyczki na finansowanie zadań realizowanych z udziałem środków pochodzących z budżetu UE</t>
  </si>
  <si>
    <t>§ 903</t>
  </si>
  <si>
    <t>Spłaty pożyczek udzielonych</t>
  </si>
  <si>
    <t>§  9550</t>
  </si>
  <si>
    <t>Prywatyzacja majątku j.s.t.</t>
  </si>
  <si>
    <t>§ od 9410 do 9440</t>
  </si>
  <si>
    <t>Nadwyżka budżetu z lat ubiegłych</t>
  </si>
  <si>
    <t>§ 9570</t>
  </si>
  <si>
    <t>Sprzedaż papierów wartościowych</t>
  </si>
  <si>
    <t>§  9310</t>
  </si>
  <si>
    <t xml:space="preserve">Inne rozliczenia (wolne środki z tyt.rozl.kred.) </t>
  </si>
  <si>
    <t>IV.</t>
  </si>
  <si>
    <t>Rozchody ogółem:</t>
  </si>
  <si>
    <t>Spłata kredytu</t>
  </si>
  <si>
    <t>§  9920</t>
  </si>
  <si>
    <t>Pożyczki udzielone</t>
  </si>
  <si>
    <t>§  9950</t>
  </si>
  <si>
    <t>Spłaty pożyczek (WFOŚiGW)</t>
  </si>
  <si>
    <t>Spłaty pożyczek otrzymanych na finansowanie zadań realizowanych z udziałem środków pochodzących z budżetu UE</t>
  </si>
  <si>
    <t>§ 963</t>
  </si>
  <si>
    <t>Lokaty w bankach</t>
  </si>
  <si>
    <t>§  9940</t>
  </si>
  <si>
    <t>Wykup papierów wartościowych</t>
  </si>
  <si>
    <t>§  9820</t>
  </si>
  <si>
    <t>Rozchody z tytułu innych rozliczeń</t>
  </si>
  <si>
    <t>§ 9950</t>
  </si>
  <si>
    <t>V.</t>
  </si>
  <si>
    <t>Z dochodów przeznacza się na spłatę kredytów i pożyczek (IV)</t>
  </si>
  <si>
    <t>VI.</t>
  </si>
  <si>
    <t>Dochody przeznaczone na pokrycie wydatków (I-V)</t>
  </si>
  <si>
    <t>VII.</t>
  </si>
  <si>
    <t>Wydatki nie znajdujące pokrycia w planowanych dochodach (II-VI)</t>
  </si>
  <si>
    <t>VIII.</t>
  </si>
  <si>
    <t>Na pokrycie wydatków nie znajdujących pokrycia w  planowanych dochodach planuje się przychody (III)</t>
  </si>
  <si>
    <r>
      <t>Spłata pożyczek zaciągniętych na prefinansowanie wydatków</t>
    </r>
    <r>
      <rPr>
        <b/>
        <sz val="8"/>
        <rFont val="Arial CE"/>
        <family val="2"/>
      </rPr>
      <t>*</t>
    </r>
  </si>
  <si>
    <t>Plany przychodów i wydatków dochodów własnych na rok 2006</t>
  </si>
  <si>
    <t>Lp</t>
  </si>
  <si>
    <t>Wyszczególnienie</t>
  </si>
  <si>
    <t>Stan środków pieniężnych  na początku roku</t>
  </si>
  <si>
    <t>Przychody</t>
  </si>
  <si>
    <t xml:space="preserve">Wydatki  </t>
  </si>
  <si>
    <t>Stan środków pieniężnych  na koniec roku</t>
  </si>
  <si>
    <t>Dochody własne ogółem,                            w tym:</t>
  </si>
  <si>
    <t>Powiat. Inspektorat Wet. w  Olecku</t>
  </si>
  <si>
    <t>Zespół Szkół Technicznych w Olecku</t>
  </si>
  <si>
    <t>Bursa Szkolna w Gołdapi</t>
  </si>
  <si>
    <t>Zespół Szkół Zawodowych w Gołdapi</t>
  </si>
  <si>
    <t>Zespół Szkół Licealnych i Zawodowych w Olecku</t>
  </si>
  <si>
    <t>Specjalny Ośrodek Szkol-Wych Gołdap</t>
  </si>
  <si>
    <t>Ośrodek Szkolno-Wychowawczy dla Dzieci Głuchych                          w Olecku</t>
  </si>
  <si>
    <t>Dom Dziecka w Gołdapi</t>
  </si>
  <si>
    <t>Dom Dziecka w Olecku</t>
  </si>
  <si>
    <t>Powiatowa Stacja Sanit-Epid. w Olecku</t>
  </si>
  <si>
    <t>Zespół Szkół Ogólnok. w Gołdapi</t>
  </si>
  <si>
    <t>Kom. Pow. Państ. Straży Poż.  Olecko</t>
  </si>
  <si>
    <t xml:space="preserve">Plan przychodów i wydatków Powiatowego Funduszu Ochrony Środowiska i Gospodarki Wodnej </t>
  </si>
  <si>
    <t>Plan na 2006 r</t>
  </si>
  <si>
    <t>Stan funduszy na początek roku, w tym:</t>
  </si>
  <si>
    <t>- środki pieniężne</t>
  </si>
  <si>
    <t>- należności</t>
  </si>
  <si>
    <t>- zobowiązania</t>
  </si>
  <si>
    <t>- materiały</t>
  </si>
  <si>
    <t>§0690-opłaty i kary z tyt.gosp.korzystania ze środowiska</t>
  </si>
  <si>
    <t>§2710-wpływy z tyt.pomocy finans.udziel.między j.s.t.na dofin.własnych zadań bieżących</t>
  </si>
  <si>
    <t>Wydatki bieżące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</si>
  <si>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</si>
  <si>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</si>
  <si>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</si>
  <si>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</si>
  <si>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</si>
  <si>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</si>
  <si>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</si>
  <si>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6260 - dotacja z f-szy cel.na realiz.inwest.jedn.sekt.fin.publ.</t>
  </si>
  <si>
    <t>IV</t>
  </si>
  <si>
    <t>Stan funduszy na koniec roku, w tym:</t>
  </si>
  <si>
    <t>Przewodniczący Rady Powiatu:Wacław Sapieha</t>
  </si>
  <si>
    <t>Plan przychodów i wydatków Powiatowego Funduszu Gospodarki Zasobem Geodezyjnym i Kartograficznym</t>
  </si>
  <si>
    <t>w zł.</t>
  </si>
  <si>
    <t>§ 0830  - Wpływy z usług</t>
  </si>
  <si>
    <t>§ 0920  - Odsetki</t>
  </si>
  <si>
    <t>§ 2960-przelewy redystrybucyjne</t>
  </si>
  <si>
    <t>- przelewy na fundusz centralny</t>
  </si>
  <si>
    <t>- przelewy na fundusz wojewódzki</t>
  </si>
  <si>
    <t>§ 4210-zakup matriałów i wyposażenia</t>
  </si>
  <si>
    <t>§ 4270-zakup usług remontowych</t>
  </si>
  <si>
    <t>§ 4410- podróże służbowe krajowe</t>
  </si>
  <si>
    <t>Wydatki majątkowe</t>
  </si>
  <si>
    <t>§ 6120- wydatki na zakupy inwestycyjne funduszy celowych</t>
  </si>
  <si>
    <t xml:space="preserve">                 Przewodniczący Rady Powiatu: Wacław Sapieha</t>
  </si>
  <si>
    <t>Dotacje dla niepublicznych przedszkoli, szkół i placówek oświatowo - wychowawczych w roku 2006</t>
  </si>
  <si>
    <t>Nazwa jednostki</t>
  </si>
  <si>
    <t>rozdział</t>
  </si>
  <si>
    <t>kwota dotacji</t>
  </si>
  <si>
    <t xml:space="preserve">Zakład Doskonalenia Zawodowego w Białymstoku </t>
  </si>
  <si>
    <t>Liceum Ogólnokształcące dla Dorosłych</t>
  </si>
  <si>
    <t>Liceum Ekonomiczne, Policealne Studium Zawodowe, Technikum</t>
  </si>
  <si>
    <t>Wyrównanie  z tyt.rozliczenia dotacji za 2002rok</t>
  </si>
  <si>
    <t>Centrum Edukacji i Rozwoju Zawodowego w Olecku</t>
  </si>
  <si>
    <t xml:space="preserve">Liceum Ogólnokształcące dla Dorosłych </t>
  </si>
  <si>
    <t>Liceum Ekonomiczne, Studium Zarządzania Biznesem</t>
  </si>
  <si>
    <t>Centrum "Omega"</t>
  </si>
  <si>
    <t>Studium Policealne Hotelarstwa (zaoczne dla dorosłych)</t>
  </si>
  <si>
    <t>Centrum Edukacji Specjalnej  w Olecku</t>
  </si>
  <si>
    <t>Szkoły Podstawowe Specjalne</t>
  </si>
  <si>
    <t>Przedszkola Specjalne</t>
  </si>
  <si>
    <t>Gimnazjum Specjalne</t>
  </si>
  <si>
    <t>Zasadnicza Szkoła Zawodowa, Szkoła przysposabiająca do pracy</t>
  </si>
  <si>
    <t>RAZEM</t>
  </si>
  <si>
    <t xml:space="preserve">   Wacław Sapieha</t>
  </si>
  <si>
    <t xml:space="preserve">                              Załącznik Nr 1 do Uchwały Rady Powiatu Nr XLI/ 299/06 z dnia 06 kwietnia 2006r.</t>
  </si>
  <si>
    <t>Załącznik Nr 2 do Uchwały Rady Powiatu w Olecku                                                Nr  XLI/299/06  z dnia 06 kwietnia 2006 roku</t>
  </si>
  <si>
    <t xml:space="preserve">Załącznik nr 3 do Uchwały Rady Powiatu                                             w Olecku Nr XLI/299/06  z dnia 06 kwietnia  2006r. </t>
  </si>
  <si>
    <r>
      <t>Załącznik Nr 4 do Uchwały Rady Powiatu Nr XLI</t>
    </r>
    <r>
      <rPr>
        <b/>
        <sz val="8"/>
        <rFont val="Arial CE"/>
        <family val="2"/>
      </rPr>
      <t>/</t>
    </r>
    <r>
      <rPr>
        <sz val="8"/>
        <rFont val="Arial CE"/>
        <family val="0"/>
      </rPr>
      <t xml:space="preserve">299/06 </t>
    </r>
    <r>
      <rPr>
        <sz val="8"/>
        <rFont val="Arial CE"/>
        <family val="2"/>
      </rPr>
      <t>z dnia 06 kwietnia 2006r.</t>
    </r>
  </si>
  <si>
    <r>
      <t>Załącznik nr 5 do Uchwały Rady Powiatu w Olecku Nr</t>
    </r>
    <r>
      <rPr>
        <b/>
        <sz val="7"/>
        <rFont val="Arial CE"/>
        <family val="2"/>
      </rPr>
      <t xml:space="preserve"> XLI/299/06</t>
    </r>
    <r>
      <rPr>
        <b/>
        <sz val="7"/>
        <rFont val="Arial CE"/>
        <family val="0"/>
      </rPr>
      <t xml:space="preserve"> z dnia 06 kwietnia 2006r.</t>
    </r>
  </si>
  <si>
    <t>Załącznik nr 6 do Uchwały Rady Powiatu nr XLI/299/06 z dnia 06 kwietnia 2006r.</t>
  </si>
  <si>
    <t>Załącznik Nr 7 do Uchwały Rady Powiatu                                  w Olecku Nr XLI/299/06 z dnia  06 kwietnia 2005 roku</t>
  </si>
  <si>
    <r>
      <t>Załącznik Nr 8 do Uchwały Rady Powiatu w Olecku Nr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XLI/299/06 z dnia 06 kwietnia 2006 r.</t>
    </r>
  </si>
  <si>
    <r>
      <t xml:space="preserve">Załacznik Nr 9 do Uchwały Rady Powiatu  w Olecku </t>
    </r>
    <r>
      <rPr>
        <sz val="8"/>
        <rFont val="Arial CE"/>
        <family val="0"/>
      </rPr>
      <t>Nr XLI/299/06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z dnia 06 kwietnia 2006r.</t>
    </r>
  </si>
  <si>
    <r>
      <t>Załącznik nr 10 do Uchwały Rady Powiatu</t>
    </r>
    <r>
      <rPr>
        <sz val="10"/>
        <rFont val="Arial CE"/>
        <family val="0"/>
      </rPr>
      <t xml:space="preserve"> XLI/299/06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                                                                                        z dnia 06 kwietnia 2005 r. </t>
    </r>
  </si>
  <si>
    <r>
      <t>Załącznik nr 11 do Uchwały Rady Powiatu Nr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XLI/299/06 </t>
    </r>
    <r>
      <rPr>
        <sz val="10"/>
        <rFont val="Arial CE"/>
        <family val="2"/>
      </rPr>
      <t xml:space="preserve">                                                        z dnia 06 kwietnia 2006r.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</si>
</sst>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7"/>
      <name val="Arial CE"/>
      <family val="2"/>
    </font>
    <font>
      <b/>
      <u val="single"/>
      <sz val="11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1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0" fillId="0" borderId="1" xfId="0" applyBorder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49" fontId="6" fillId="2" borderId="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3" borderId="6" xfId="0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165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right"/>
    </xf>
    <xf numFmtId="164" fontId="0" fillId="0" borderId="2" xfId="0" applyNumberFormat="1" applyBorder="1" applyAlignment="1">
      <alignment/>
    </xf>
    <xf numFmtId="0" fontId="6" fillId="2" borderId="2" xfId="0" applyFont="1" applyFill="1" applyBorder="1" applyAlignment="1">
      <alignment wrapText="1"/>
    </xf>
    <xf numFmtId="2" fontId="6" fillId="2" borderId="2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165" fontId="6" fillId="2" borderId="2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0" fontId="6" fillId="2" borderId="2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49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0" fillId="0" borderId="4" xfId="0" applyNumberFormat="1" applyFont="1" applyBorder="1" applyAlignment="1" applyProtection="1">
      <alignment/>
      <protection locked="0"/>
    </xf>
    <xf numFmtId="0" fontId="6" fillId="0" borderId="3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49" fontId="0" fillId="2" borderId="2" xfId="0" applyNumberForma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/>
    </xf>
    <xf numFmtId="0" fontId="6" fillId="0" borderId="4" xfId="0" applyNumberFormat="1" applyFont="1" applyBorder="1" applyAlignment="1">
      <alignment/>
    </xf>
    <xf numFmtId="0" fontId="8" fillId="2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left"/>
    </xf>
    <xf numFmtId="165" fontId="0" fillId="3" borderId="2" xfId="0" applyNumberFormat="1" applyFont="1" applyFill="1" applyBorder="1" applyAlignment="1">
      <alignment/>
    </xf>
    <xf numFmtId="164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2" xfId="0" applyNumberFormat="1" applyBorder="1" applyAlignment="1">
      <alignment/>
    </xf>
    <xf numFmtId="49" fontId="0" fillId="3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0" fontId="0" fillId="3" borderId="7" xfId="0" applyFont="1" applyFill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0" fontId="9" fillId="2" borderId="2" xfId="0" applyFont="1" applyFill="1" applyBorder="1" applyAlignment="1">
      <alignment wrapText="1"/>
    </xf>
    <xf numFmtId="0" fontId="6" fillId="2" borderId="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6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5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4" borderId="12" xfId="0" applyFill="1" applyBorder="1" applyAlignment="1">
      <alignment horizontal="right"/>
    </xf>
    <xf numFmtId="0" fontId="10" fillId="4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165" fontId="9" fillId="4" borderId="13" xfId="0" applyNumberFormat="1" applyFont="1" applyFill="1" applyBorder="1" applyAlignment="1">
      <alignment/>
    </xf>
    <xf numFmtId="164" fontId="9" fillId="4" borderId="13" xfId="0" applyNumberFormat="1" applyFont="1" applyFill="1" applyBorder="1" applyAlignment="1">
      <alignment/>
    </xf>
    <xf numFmtId="2" fontId="6" fillId="4" borderId="13" xfId="0" applyNumberFormat="1" applyFont="1" applyFill="1" applyBorder="1" applyAlignment="1">
      <alignment/>
    </xf>
    <xf numFmtId="10" fontId="6" fillId="4" borderId="13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3" xfId="0" applyNumberFormat="1" applyFont="1" applyFill="1" applyBorder="1" applyAlignment="1">
      <alignment/>
    </xf>
    <xf numFmtId="0" fontId="6" fillId="4" borderId="14" xfId="0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165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6" xfId="0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5" borderId="16" xfId="0" applyNumberFormat="1" applyFont="1" applyFill="1" applyBorder="1" applyAlignment="1">
      <alignment/>
    </xf>
    <xf numFmtId="0" fontId="6" fillId="5" borderId="16" xfId="0" applyFont="1" applyFill="1" applyBorder="1" applyAlignment="1">
      <alignment/>
    </xf>
    <xf numFmtId="49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left"/>
    </xf>
    <xf numFmtId="0" fontId="7" fillId="6" borderId="2" xfId="0" applyFont="1" applyFill="1" applyBorder="1" applyAlignment="1">
      <alignment wrapText="1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right"/>
    </xf>
    <xf numFmtId="0" fontId="15" fillId="0" borderId="2" xfId="0" applyFont="1" applyBorder="1" applyAlignment="1">
      <alignment wrapText="1"/>
    </xf>
    <xf numFmtId="0" fontId="6" fillId="6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/>
    </xf>
    <xf numFmtId="0" fontId="6" fillId="5" borderId="2" xfId="0" applyFont="1" applyFill="1" applyBorder="1" applyAlignment="1">
      <alignment/>
    </xf>
    <xf numFmtId="49" fontId="0" fillId="0" borderId="2" xfId="0" applyNumberFormat="1" applyBorder="1" applyAlignment="1">
      <alignment/>
    </xf>
    <xf numFmtId="0" fontId="15" fillId="0" borderId="2" xfId="0" applyFont="1" applyBorder="1" applyAlignment="1">
      <alignment/>
    </xf>
    <xf numFmtId="49" fontId="6" fillId="6" borderId="2" xfId="0" applyNumberFormat="1" applyFont="1" applyFill="1" applyBorder="1" applyAlignment="1">
      <alignment/>
    </xf>
    <xf numFmtId="49" fontId="0" fillId="6" borderId="2" xfId="0" applyNumberFormat="1" applyFill="1" applyBorder="1" applyAlignment="1">
      <alignment horizontal="left"/>
    </xf>
    <xf numFmtId="0" fontId="0" fillId="6" borderId="2" xfId="0" applyFill="1" applyBorder="1" applyAlignment="1">
      <alignment/>
    </xf>
    <xf numFmtId="49" fontId="0" fillId="5" borderId="2" xfId="0" applyNumberFormat="1" applyFill="1" applyBorder="1" applyAlignment="1">
      <alignment horizontal="left"/>
    </xf>
    <xf numFmtId="0" fontId="6" fillId="5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3" borderId="0" xfId="0" applyFill="1" applyAlignment="1">
      <alignment/>
    </xf>
    <xf numFmtId="49" fontId="6" fillId="5" borderId="2" xfId="0" applyNumberFormat="1" applyFont="1" applyFill="1" applyBorder="1" applyAlignment="1">
      <alignment horizontal="left"/>
    </xf>
    <xf numFmtId="0" fontId="7" fillId="5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49" fontId="0" fillId="0" borderId="2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horizontal="right"/>
    </xf>
    <xf numFmtId="0" fontId="0" fillId="3" borderId="2" xfId="0" applyFill="1" applyBorder="1" applyAlignment="1">
      <alignment/>
    </xf>
    <xf numFmtId="0" fontId="0" fillId="6" borderId="2" xfId="0" applyFont="1" applyFill="1" applyBorder="1" applyAlignment="1">
      <alignment/>
    </xf>
    <xf numFmtId="49" fontId="6" fillId="5" borderId="2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8" fillId="6" borderId="2" xfId="0" applyFont="1" applyFill="1" applyBorder="1" applyAlignment="1">
      <alignment wrapText="1"/>
    </xf>
    <xf numFmtId="0" fontId="0" fillId="6" borderId="2" xfId="0" applyFill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0" fontId="8" fillId="5" borderId="2" xfId="0" applyFont="1" applyFill="1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49" fontId="0" fillId="6" borderId="2" xfId="0" applyNumberForma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wrapText="1"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ill="1" applyBorder="1" applyAlignment="1">
      <alignment/>
    </xf>
    <xf numFmtId="0" fontId="6" fillId="7" borderId="2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/>
    </xf>
    <xf numFmtId="0" fontId="0" fillId="8" borderId="16" xfId="0" applyFill="1" applyBorder="1" applyAlignment="1">
      <alignment/>
    </xf>
    <xf numFmtId="0" fontId="0" fillId="8" borderId="2" xfId="0" applyFill="1" applyBorder="1" applyAlignment="1">
      <alignment/>
    </xf>
    <xf numFmtId="0" fontId="3" fillId="0" borderId="2" xfId="0" applyFont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6" fillId="3" borderId="2" xfId="0" applyNumberFormat="1" applyFont="1" applyFill="1" applyBorder="1" applyAlignment="1">
      <alignment/>
    </xf>
    <xf numFmtId="49" fontId="0" fillId="3" borderId="2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6" fillId="6" borderId="2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49" fontId="6" fillId="6" borderId="2" xfId="0" applyNumberFormat="1" applyFont="1" applyFill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3" fillId="0" borderId="2" xfId="0" applyNumberFormat="1" applyFont="1" applyBorder="1" applyAlignment="1">
      <alignment/>
    </xf>
    <xf numFmtId="0" fontId="6" fillId="9" borderId="2" xfId="0" applyFont="1" applyFill="1" applyBorder="1" applyAlignment="1">
      <alignment/>
    </xf>
    <xf numFmtId="49" fontId="8" fillId="9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41" fontId="15" fillId="0" borderId="20" xfId="0" applyNumberFormat="1" applyFont="1" applyBorder="1" applyAlignment="1">
      <alignment horizont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41" fontId="11" fillId="0" borderId="20" xfId="0" applyNumberFormat="1" applyFont="1" applyBorder="1" applyAlignment="1">
      <alignment horizontal="center"/>
    </xf>
    <xf numFmtId="41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41" fontId="11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11" fillId="0" borderId="31" xfId="0" applyFont="1" applyBorder="1" applyAlignment="1">
      <alignment horizontal="center" wrapText="1"/>
    </xf>
    <xf numFmtId="41" fontId="11" fillId="0" borderId="25" xfId="0" applyNumberFormat="1" applyFont="1" applyBorder="1" applyAlignment="1">
      <alignment horizontal="center"/>
    </xf>
    <xf numFmtId="41" fontId="11" fillId="0" borderId="28" xfId="0" applyNumberFormat="1" applyFont="1" applyBorder="1" applyAlignment="1">
      <alignment horizontal="center"/>
    </xf>
    <xf numFmtId="41" fontId="11" fillId="0" borderId="20" xfId="0" applyNumberFormat="1" applyFont="1" applyBorder="1" applyAlignment="1">
      <alignment horizontal="center" wrapText="1"/>
    </xf>
    <xf numFmtId="41" fontId="14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15" fillId="0" borderId="36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42" xfId="0" applyFont="1" applyBorder="1" applyAlignment="1">
      <alignment/>
    </xf>
    <xf numFmtId="0" fontId="3" fillId="0" borderId="40" xfId="0" applyFont="1" applyBorder="1" applyAlignment="1">
      <alignment wrapText="1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11" fillId="0" borderId="40" xfId="0" applyFont="1" applyBorder="1" applyAlignment="1">
      <alignment wrapText="1"/>
    </xf>
    <xf numFmtId="0" fontId="11" fillId="0" borderId="40" xfId="0" applyFont="1" applyBorder="1" applyAlignment="1">
      <alignment/>
    </xf>
    <xf numFmtId="0" fontId="3" fillId="0" borderId="4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47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10" fontId="8" fillId="0" borderId="34" xfId="0" applyNumberFormat="1" applyFont="1" applyBorder="1" applyAlignment="1">
      <alignment/>
    </xf>
    <xf numFmtId="10" fontId="8" fillId="0" borderId="45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0" fontId="8" fillId="0" borderId="48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14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0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Fill="1" applyBorder="1" applyAlignment="1">
      <alignment/>
    </xf>
    <xf numFmtId="0" fontId="15" fillId="0" borderId="4" xfId="0" applyFont="1" applyBorder="1" applyAlignment="1">
      <alignment/>
    </xf>
    <xf numFmtId="0" fontId="3" fillId="0" borderId="16" xfId="0" applyFont="1" applyBorder="1" applyAlignment="1">
      <alignment wrapText="1"/>
    </xf>
    <xf numFmtId="0" fontId="15" fillId="0" borderId="16" xfId="0" applyFont="1" applyBorder="1" applyAlignment="1">
      <alignment/>
    </xf>
    <xf numFmtId="0" fontId="15" fillId="0" borderId="49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horizontal="center"/>
    </xf>
    <xf numFmtId="0" fontId="7" fillId="3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43" xfId="0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0" borderId="25" xfId="0" applyBorder="1" applyAlignment="1">
      <alignment/>
    </xf>
    <xf numFmtId="0" fontId="6" fillId="0" borderId="5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6" fillId="0" borderId="13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6" xfId="0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15" fillId="0" borderId="21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/>
    </xf>
    <xf numFmtId="0" fontId="15" fillId="0" borderId="20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0" fillId="0" borderId="0" xfId="0" applyFont="1" applyAlignment="1">
      <alignment horizont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49" fontId="0" fillId="0" borderId="8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0" fillId="3" borderId="0" xfId="0" applyFill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5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36" xfId="0" applyBorder="1" applyAlignment="1">
      <alignment horizontal="center"/>
    </xf>
    <xf numFmtId="49" fontId="0" fillId="0" borderId="55" xfId="0" applyNumberFormat="1" applyBorder="1" applyAlignment="1">
      <alignment/>
    </xf>
    <xf numFmtId="0" fontId="0" fillId="0" borderId="39" xfId="0" applyBorder="1" applyAlignment="1">
      <alignment horizontal="center"/>
    </xf>
    <xf numFmtId="49" fontId="0" fillId="0" borderId="8" xfId="0" applyNumberFormat="1" applyBorder="1" applyAlignment="1">
      <alignment/>
    </xf>
    <xf numFmtId="49" fontId="0" fillId="0" borderId="57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58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8" xfId="0" applyBorder="1" applyAlignment="1">
      <alignment wrapText="1"/>
    </xf>
    <xf numFmtId="0" fontId="6" fillId="0" borderId="3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43" xfId="0" applyBorder="1" applyAlignment="1">
      <alignment horizontal="center"/>
    </xf>
    <xf numFmtId="49" fontId="0" fillId="0" borderId="5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 horizontal="center"/>
    </xf>
    <xf numFmtId="49" fontId="0" fillId="0" borderId="60" xfId="0" applyNumberForma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0" fillId="0" borderId="8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49" fontId="0" fillId="0" borderId="4" xfId="0" applyNumberFormat="1" applyBorder="1" applyAlignment="1">
      <alignment/>
    </xf>
    <xf numFmtId="0" fontId="0" fillId="0" borderId="59" xfId="0" applyBorder="1" applyAlignment="1">
      <alignment/>
    </xf>
    <xf numFmtId="0" fontId="6" fillId="0" borderId="25" xfId="0" applyFont="1" applyBorder="1" applyAlignment="1">
      <alignment horizontal="center"/>
    </xf>
    <xf numFmtId="49" fontId="6" fillId="0" borderId="57" xfId="0" applyNumberFormat="1" applyFont="1" applyBorder="1" applyAlignment="1">
      <alignment/>
    </xf>
    <xf numFmtId="49" fontId="0" fillId="0" borderId="57" xfId="0" applyNumberFormat="1" applyBorder="1" applyAlignment="1">
      <alignment wrapText="1"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20" xfId="0" applyFont="1" applyBorder="1" applyAlignment="1">
      <alignment/>
    </xf>
    <xf numFmtId="165" fontId="0" fillId="0" borderId="0" xfId="0" applyNumberFormat="1" applyAlignment="1">
      <alignment/>
    </xf>
    <xf numFmtId="0" fontId="3" fillId="0" borderId="21" xfId="0" applyFont="1" applyBorder="1" applyAlignment="1">
      <alignment/>
    </xf>
    <xf numFmtId="165" fontId="3" fillId="0" borderId="2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165" fontId="3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165" fontId="7" fillId="0" borderId="2" xfId="0" applyNumberFormat="1" applyFont="1" applyBorder="1" applyAlignment="1">
      <alignment/>
    </xf>
    <xf numFmtId="0" fontId="3" fillId="0" borderId="16" xfId="0" applyFont="1" applyBorder="1" applyAlignment="1">
      <alignment/>
    </xf>
    <xf numFmtId="49" fontId="0" fillId="0" borderId="7" xfId="0" applyNumberFormat="1" applyBorder="1" applyAlignment="1">
      <alignment horizontal="left"/>
    </xf>
    <xf numFmtId="49" fontId="0" fillId="0" borderId="4" xfId="0" applyNumberForma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165" fontId="3" fillId="0" borderId="2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right" wrapText="1"/>
    </xf>
    <xf numFmtId="0" fontId="7" fillId="0" borderId="13" xfId="0" applyFont="1" applyBorder="1" applyAlignment="1">
      <alignment/>
    </xf>
    <xf numFmtId="165" fontId="6" fillId="0" borderId="58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10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3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7" fillId="3" borderId="64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7" fillId="3" borderId="3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7" fillId="3" borderId="6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6" fillId="0" borderId="5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6" fillId="3" borderId="54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5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zalaczniki%20do%20uchwa&#322;y%2006.04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1"/>
      <sheetName val="z1a"/>
      <sheetName val="Z 2"/>
      <sheetName val="Z 3 "/>
      <sheetName val="Z 4 "/>
      <sheetName val="Z 5 "/>
      <sheetName val="z6"/>
      <sheetName val="z7"/>
      <sheetName val="z8"/>
      <sheetName val="z9"/>
      <sheetName val="z9a"/>
      <sheetName val="z10"/>
      <sheetName val="z11"/>
      <sheetName val="z12"/>
      <sheetName val="z13"/>
      <sheetName val="z14"/>
      <sheetName val="z15"/>
      <sheetName val="z16"/>
    </sheetNames>
    <sheetDataSet>
      <sheetData sheetId="0">
        <row r="13">
          <cell r="V13">
            <v>30000</v>
          </cell>
        </row>
        <row r="40">
          <cell r="V40">
            <v>62000</v>
          </cell>
        </row>
        <row r="43">
          <cell r="V43">
            <v>40000</v>
          </cell>
        </row>
        <row r="44">
          <cell r="V44">
            <v>25000</v>
          </cell>
        </row>
        <row r="47">
          <cell r="V47">
            <v>181547</v>
          </cell>
        </row>
        <row r="49">
          <cell r="V49">
            <v>102748</v>
          </cell>
        </row>
        <row r="57">
          <cell r="V57">
            <v>13000</v>
          </cell>
        </row>
        <row r="61">
          <cell r="V61">
            <v>2201000</v>
          </cell>
        </row>
        <row r="72">
          <cell r="V72">
            <v>3000</v>
          </cell>
        </row>
        <row r="106">
          <cell r="V106">
            <v>63795</v>
          </cell>
        </row>
        <row r="107">
          <cell r="V107">
            <v>21266</v>
          </cell>
        </row>
        <row r="116">
          <cell r="V116">
            <v>548000</v>
          </cell>
        </row>
        <row r="159">
          <cell r="V159">
            <v>277549</v>
          </cell>
        </row>
        <row r="160">
          <cell r="V160">
            <v>130611</v>
          </cell>
        </row>
        <row r="168">
          <cell r="V168">
            <v>33154418</v>
          </cell>
        </row>
      </sheetData>
      <sheetData sheetId="2">
        <row r="28">
          <cell r="O28">
            <v>30000</v>
          </cell>
        </row>
        <row r="30">
          <cell r="Q30">
            <v>1700</v>
          </cell>
        </row>
        <row r="39">
          <cell r="Q39">
            <v>0</v>
          </cell>
        </row>
        <row r="61">
          <cell r="O61">
            <v>800</v>
          </cell>
        </row>
        <row r="62">
          <cell r="O62">
            <v>3930</v>
          </cell>
        </row>
        <row r="64">
          <cell r="O64">
            <v>41402</v>
          </cell>
        </row>
        <row r="66">
          <cell r="O66">
            <v>11728</v>
          </cell>
        </row>
        <row r="67">
          <cell r="O67">
            <v>4140</v>
          </cell>
        </row>
        <row r="71">
          <cell r="O71">
            <v>40000</v>
          </cell>
        </row>
        <row r="73">
          <cell r="O73">
            <v>25000</v>
          </cell>
        </row>
        <row r="75">
          <cell r="O75">
            <v>49200</v>
          </cell>
        </row>
        <row r="76">
          <cell r="O76">
            <v>78200</v>
          </cell>
        </row>
        <row r="77">
          <cell r="O77">
            <v>8864</v>
          </cell>
        </row>
        <row r="78">
          <cell r="O78">
            <v>24786</v>
          </cell>
        </row>
        <row r="79">
          <cell r="O79">
            <v>3338</v>
          </cell>
        </row>
        <row r="80">
          <cell r="O80">
            <v>3000</v>
          </cell>
        </row>
        <row r="81">
          <cell r="O81">
            <v>4277</v>
          </cell>
        </row>
        <row r="82">
          <cell r="O82">
            <v>4125</v>
          </cell>
        </row>
        <row r="83">
          <cell r="O83">
            <v>500</v>
          </cell>
        </row>
        <row r="84">
          <cell r="O84">
            <v>2200</v>
          </cell>
        </row>
        <row r="85">
          <cell r="O85">
            <v>3057</v>
          </cell>
        </row>
        <row r="88">
          <cell r="O88">
            <v>70400</v>
          </cell>
        </row>
        <row r="89">
          <cell r="O89">
            <v>4712</v>
          </cell>
        </row>
        <row r="90">
          <cell r="O90">
            <v>12942</v>
          </cell>
        </row>
        <row r="91">
          <cell r="O91">
            <v>1840</v>
          </cell>
        </row>
        <row r="92">
          <cell r="O92">
            <v>7160</v>
          </cell>
        </row>
        <row r="93">
          <cell r="O93">
            <v>1060</v>
          </cell>
        </row>
        <row r="94">
          <cell r="O94">
            <v>1400</v>
          </cell>
        </row>
        <row r="95">
          <cell r="O95">
            <v>600</v>
          </cell>
        </row>
        <row r="96">
          <cell r="O96">
            <v>2634</v>
          </cell>
        </row>
        <row r="98">
          <cell r="Q98">
            <v>3380</v>
          </cell>
        </row>
        <row r="128">
          <cell r="O128">
            <v>5330</v>
          </cell>
        </row>
        <row r="129">
          <cell r="O129">
            <v>775</v>
          </cell>
        </row>
        <row r="130">
          <cell r="O130">
            <v>110</v>
          </cell>
        </row>
        <row r="131">
          <cell r="O131">
            <v>5400</v>
          </cell>
        </row>
        <row r="132">
          <cell r="O132">
            <v>687</v>
          </cell>
        </row>
        <row r="133">
          <cell r="O133">
            <v>450</v>
          </cell>
        </row>
        <row r="134">
          <cell r="O134">
            <v>248</v>
          </cell>
        </row>
        <row r="147">
          <cell r="O147">
            <v>149000</v>
          </cell>
        </row>
        <row r="148">
          <cell r="O148">
            <v>19000</v>
          </cell>
        </row>
        <row r="149">
          <cell r="O149">
            <v>2000</v>
          </cell>
        </row>
        <row r="150">
          <cell r="O150">
            <v>1388850</v>
          </cell>
        </row>
        <row r="151">
          <cell r="O151">
            <v>147000</v>
          </cell>
        </row>
        <row r="152">
          <cell r="O152">
            <v>117000</v>
          </cell>
        </row>
        <row r="153">
          <cell r="O153">
            <v>10500</v>
          </cell>
        </row>
        <row r="154">
          <cell r="O154">
            <v>650</v>
          </cell>
        </row>
        <row r="155">
          <cell r="O155">
            <v>93000</v>
          </cell>
        </row>
        <row r="156">
          <cell r="O156">
            <v>137820</v>
          </cell>
        </row>
        <row r="157">
          <cell r="O157">
            <v>20000</v>
          </cell>
        </row>
        <row r="158">
          <cell r="O158">
            <v>18000</v>
          </cell>
        </row>
        <row r="159">
          <cell r="O159">
            <v>12000</v>
          </cell>
        </row>
        <row r="160">
          <cell r="O160">
            <v>14520</v>
          </cell>
        </row>
        <row r="161">
          <cell r="O161">
            <v>45000</v>
          </cell>
        </row>
        <row r="162">
          <cell r="O162">
            <v>7000</v>
          </cell>
        </row>
        <row r="163">
          <cell r="O163">
            <v>8000</v>
          </cell>
        </row>
        <row r="164">
          <cell r="O164">
            <v>1000</v>
          </cell>
        </row>
        <row r="165">
          <cell r="O165">
            <v>10500</v>
          </cell>
        </row>
        <row r="166">
          <cell r="O166">
            <v>160</v>
          </cell>
        </row>
        <row r="169">
          <cell r="N169">
            <v>1400</v>
          </cell>
        </row>
        <row r="170">
          <cell r="N170">
            <v>1600</v>
          </cell>
        </row>
        <row r="195">
          <cell r="N195">
            <v>212103</v>
          </cell>
        </row>
        <row r="197">
          <cell r="N197">
            <v>111982</v>
          </cell>
        </row>
        <row r="208">
          <cell r="N208">
            <v>239080</v>
          </cell>
        </row>
        <row r="227">
          <cell r="N227">
            <v>60742</v>
          </cell>
        </row>
        <row r="228">
          <cell r="N228">
            <v>198661</v>
          </cell>
        </row>
        <row r="261">
          <cell r="N261">
            <v>79914</v>
          </cell>
        </row>
        <row r="262">
          <cell r="N262">
            <v>34995</v>
          </cell>
        </row>
        <row r="272">
          <cell r="N272">
            <v>144987</v>
          </cell>
        </row>
        <row r="277">
          <cell r="Q277">
            <v>12000</v>
          </cell>
        </row>
        <row r="309">
          <cell r="N309">
            <v>548000</v>
          </cell>
        </row>
        <row r="461">
          <cell r="Q461">
            <v>1500</v>
          </cell>
        </row>
        <row r="469">
          <cell r="Q469">
            <v>33000</v>
          </cell>
        </row>
        <row r="481">
          <cell r="N481">
            <v>32670802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5"/>
  <sheetViews>
    <sheetView workbookViewId="0" topLeftCell="A1">
      <selection activeCell="W3" sqref="W3"/>
    </sheetView>
  </sheetViews>
  <sheetFormatPr defaultColWidth="9.00390625" defaultRowHeight="12.75"/>
  <cols>
    <col min="1" max="1" width="4.375" style="155" customWidth="1"/>
    <col min="2" max="2" width="30.25390625" style="0" customWidth="1"/>
    <col min="3" max="3" width="6.75390625" style="0" customWidth="1"/>
    <col min="4" max="4" width="8.375" style="0" customWidth="1"/>
    <col min="5" max="5" width="7.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20" width="13.00390625" style="0" customWidth="1"/>
    <col min="21" max="21" width="11.625" style="0" customWidth="1"/>
    <col min="22" max="22" width="12.875" style="0" customWidth="1"/>
  </cols>
  <sheetData>
    <row r="1" spans="1:22" s="2" customFormat="1" ht="15.75" customHeight="1">
      <c r="A1" s="1"/>
      <c r="C1" s="508" t="s">
        <v>780</v>
      </c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</row>
    <row r="2" spans="1:22" s="2" customFormat="1" ht="12.75" customHeight="1">
      <c r="A2" s="1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</row>
    <row r="3" spans="1:22" s="2" customFormat="1" ht="23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7" customFormat="1" ht="24" customHeight="1">
      <c r="A4" s="4" t="s">
        <v>198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" customFormat="1" ht="8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2" customFormat="1" ht="13.5" customHeight="1">
      <c r="A6" s="495" t="s">
        <v>0</v>
      </c>
      <c r="B6" s="497" t="s">
        <v>1</v>
      </c>
      <c r="C6" s="497" t="s">
        <v>2</v>
      </c>
      <c r="D6" s="497"/>
      <c r="E6" s="497"/>
      <c r="F6" s="9"/>
      <c r="G6" s="9"/>
      <c r="H6" s="9"/>
      <c r="I6" s="9"/>
      <c r="J6" s="8"/>
      <c r="K6" s="10"/>
      <c r="L6" s="10"/>
      <c r="M6" s="497" t="s">
        <v>3</v>
      </c>
      <c r="N6" s="499" t="s">
        <v>4</v>
      </c>
      <c r="O6" s="499"/>
      <c r="P6" s="500" t="s">
        <v>5</v>
      </c>
      <c r="Q6" s="502" t="s">
        <v>6</v>
      </c>
      <c r="R6" s="502" t="s">
        <v>7</v>
      </c>
      <c r="S6" s="500" t="s">
        <v>8</v>
      </c>
      <c r="T6" s="492" t="s">
        <v>6</v>
      </c>
      <c r="U6" s="505" t="s">
        <v>7</v>
      </c>
      <c r="V6" s="505" t="s">
        <v>9</v>
      </c>
    </row>
    <row r="7" spans="1:23" s="2" customFormat="1" ht="18.75" customHeight="1">
      <c r="A7" s="496"/>
      <c r="B7" s="498"/>
      <c r="C7" s="498"/>
      <c r="D7" s="498"/>
      <c r="E7" s="498"/>
      <c r="F7" s="504" t="s">
        <v>10</v>
      </c>
      <c r="G7" s="501" t="s">
        <v>11</v>
      </c>
      <c r="H7" s="501" t="s">
        <v>12</v>
      </c>
      <c r="I7" s="12" t="s">
        <v>13</v>
      </c>
      <c r="J7" s="11"/>
      <c r="K7" s="501" t="s">
        <v>14</v>
      </c>
      <c r="L7" s="501" t="s">
        <v>15</v>
      </c>
      <c r="M7" s="498"/>
      <c r="N7" s="501" t="s">
        <v>16</v>
      </c>
      <c r="O7" s="501" t="s">
        <v>17</v>
      </c>
      <c r="P7" s="501"/>
      <c r="Q7" s="503"/>
      <c r="R7" s="503"/>
      <c r="S7" s="501"/>
      <c r="T7" s="493"/>
      <c r="U7" s="506"/>
      <c r="V7" s="506"/>
      <c r="W7" s="13"/>
    </row>
    <row r="8" spans="1:23" s="2" customFormat="1" ht="7.5" customHeight="1">
      <c r="A8" s="496"/>
      <c r="B8" s="498"/>
      <c r="C8" s="498"/>
      <c r="D8" s="498"/>
      <c r="E8" s="498"/>
      <c r="F8" s="504"/>
      <c r="G8" s="501"/>
      <c r="H8" s="501"/>
      <c r="I8" s="501" t="s">
        <v>18</v>
      </c>
      <c r="J8" s="14"/>
      <c r="K8" s="501"/>
      <c r="L8" s="501"/>
      <c r="M8" s="498"/>
      <c r="N8" s="501"/>
      <c r="O8" s="501"/>
      <c r="P8" s="501"/>
      <c r="Q8" s="503"/>
      <c r="R8" s="503"/>
      <c r="S8" s="501"/>
      <c r="T8" s="493"/>
      <c r="U8" s="506"/>
      <c r="V8" s="506"/>
      <c r="W8" s="13"/>
    </row>
    <row r="9" spans="1:22" s="13" customFormat="1" ht="19.5" customHeight="1">
      <c r="A9" s="496"/>
      <c r="B9" s="11" t="s">
        <v>19</v>
      </c>
      <c r="C9" s="11" t="s">
        <v>20</v>
      </c>
      <c r="D9" s="15" t="s">
        <v>21</v>
      </c>
      <c r="E9" s="11" t="s">
        <v>22</v>
      </c>
      <c r="F9" s="504"/>
      <c r="G9" s="501"/>
      <c r="H9" s="501"/>
      <c r="I9" s="501"/>
      <c r="J9" s="16"/>
      <c r="K9" s="501"/>
      <c r="L9" s="501"/>
      <c r="M9" s="498"/>
      <c r="N9" s="501"/>
      <c r="O9" s="501"/>
      <c r="P9" s="501"/>
      <c r="Q9" s="503"/>
      <c r="R9" s="503"/>
      <c r="S9" s="501"/>
      <c r="T9" s="494"/>
      <c r="U9" s="507"/>
      <c r="V9" s="507"/>
    </row>
    <row r="10" spans="1:22" s="13" customFormat="1" ht="12.75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6</v>
      </c>
      <c r="H10" s="18">
        <v>8</v>
      </c>
      <c r="I10" s="18">
        <v>9</v>
      </c>
      <c r="J10" s="19"/>
      <c r="K10" s="18">
        <v>7</v>
      </c>
      <c r="L10" s="18">
        <v>8</v>
      </c>
      <c r="M10" s="18">
        <v>6</v>
      </c>
      <c r="N10" s="18">
        <v>7</v>
      </c>
      <c r="O10" s="18">
        <v>8</v>
      </c>
      <c r="P10" s="18">
        <v>6</v>
      </c>
      <c r="Q10" s="18">
        <v>7</v>
      </c>
      <c r="R10" s="18">
        <v>8</v>
      </c>
      <c r="S10" s="18">
        <v>7</v>
      </c>
      <c r="T10" s="20"/>
      <c r="U10" s="20"/>
      <c r="V10" s="21"/>
    </row>
    <row r="11" spans="1:27" ht="17.25" customHeight="1">
      <c r="A11" s="22" t="s">
        <v>23</v>
      </c>
      <c r="B11" s="23" t="s">
        <v>24</v>
      </c>
      <c r="C11" s="24" t="s">
        <v>25</v>
      </c>
      <c r="D11" s="25"/>
      <c r="E11" s="25"/>
      <c r="F11" s="27" t="e">
        <f>F12+#REF!</f>
        <v>#REF!</v>
      </c>
      <c r="G11" s="28" t="e">
        <f>G12+#REF!</f>
        <v>#REF!</v>
      </c>
      <c r="H11" s="29" t="e">
        <f>IF(F11&gt;0,G11/F11*100,"")</f>
        <v>#REF!</v>
      </c>
      <c r="I11" s="30" t="e">
        <f>F11/F73</f>
        <v>#REF!</v>
      </c>
      <c r="J11" s="31"/>
      <c r="K11" s="31" t="e">
        <f>K12+#REF!</f>
        <v>#REF!</v>
      </c>
      <c r="L11" s="31" t="e">
        <f>L12+#REF!</f>
        <v>#REF!</v>
      </c>
      <c r="M11" s="23" t="e">
        <f>M12+#REF!+#REF!</f>
        <v>#REF!</v>
      </c>
      <c r="N11" s="23" t="e">
        <f>N12+#REF!+#REF!</f>
        <v>#REF!</v>
      </c>
      <c r="O11" s="23" t="e">
        <f>O12+#REF!+#REF!</f>
        <v>#REF!</v>
      </c>
      <c r="P11" s="23" t="e">
        <f>P12+#REF!+#REF!</f>
        <v>#REF!</v>
      </c>
      <c r="Q11" s="23" t="e">
        <f>Q12+#REF!+#REF!</f>
        <v>#REF!</v>
      </c>
      <c r="R11" s="23" t="e">
        <f>R12+#REF!+#REF!</f>
        <v>#REF!</v>
      </c>
      <c r="S11" s="23">
        <f>S12+S14</f>
        <v>30400</v>
      </c>
      <c r="T11" s="23">
        <f>T12+T14</f>
        <v>0</v>
      </c>
      <c r="U11" s="23">
        <f>U12+U14</f>
        <v>0</v>
      </c>
      <c r="V11" s="23">
        <f>V12+V14</f>
        <v>30400</v>
      </c>
      <c r="W11" s="32"/>
      <c r="X11" s="32"/>
      <c r="Y11" s="32"/>
      <c r="Z11" s="32"/>
      <c r="AA11" s="32"/>
    </row>
    <row r="12" spans="1:22" ht="27.75" customHeight="1">
      <c r="A12" s="33" t="s">
        <v>26</v>
      </c>
      <c r="B12" s="34" t="s">
        <v>27</v>
      </c>
      <c r="C12" s="35"/>
      <c r="D12" s="36" t="s">
        <v>28</v>
      </c>
      <c r="E12" s="37"/>
      <c r="F12" s="38">
        <v>0</v>
      </c>
      <c r="G12" s="39">
        <v>37400</v>
      </c>
      <c r="H12" s="40">
        <f>IF(F12&gt;0,G12/F12*100,"")</f>
      </c>
      <c r="I12" s="41">
        <f>F12/F73</f>
        <v>0</v>
      </c>
      <c r="J12" s="37"/>
      <c r="K12" s="37">
        <v>0</v>
      </c>
      <c r="L12" s="37">
        <v>0</v>
      </c>
      <c r="M12" s="37">
        <v>44000</v>
      </c>
      <c r="N12" s="37">
        <v>0</v>
      </c>
      <c r="O12" s="37">
        <v>0</v>
      </c>
      <c r="P12" s="37">
        <v>45000</v>
      </c>
      <c r="Q12" s="37">
        <v>0</v>
      </c>
      <c r="R12" s="37">
        <v>0</v>
      </c>
      <c r="S12" s="37">
        <f>S13</f>
        <v>30000</v>
      </c>
      <c r="T12" s="37">
        <f>T13</f>
        <v>0</v>
      </c>
      <c r="U12" s="37">
        <f>U13</f>
        <v>0</v>
      </c>
      <c r="V12" s="37">
        <f>V13</f>
        <v>30000</v>
      </c>
    </row>
    <row r="13" spans="1:22" ht="15" customHeight="1">
      <c r="A13" s="33"/>
      <c r="B13" s="42"/>
      <c r="C13" s="36"/>
      <c r="D13" s="36"/>
      <c r="E13" s="35">
        <v>2110</v>
      </c>
      <c r="F13" s="38"/>
      <c r="G13" s="39"/>
      <c r="H13" s="40"/>
      <c r="I13" s="41"/>
      <c r="J13" s="37"/>
      <c r="K13" s="37"/>
      <c r="L13" s="37"/>
      <c r="M13" s="37"/>
      <c r="N13" s="37"/>
      <c r="O13" s="37"/>
      <c r="P13" s="37"/>
      <c r="Q13" s="37"/>
      <c r="R13" s="37"/>
      <c r="S13" s="37">
        <v>30000</v>
      </c>
      <c r="T13" s="43">
        <v>0</v>
      </c>
      <c r="U13" s="43">
        <v>0</v>
      </c>
      <c r="V13" s="44">
        <f>S13+T13-U13</f>
        <v>30000</v>
      </c>
    </row>
    <row r="14" spans="1:22" s="51" customFormat="1" ht="17.25" customHeight="1">
      <c r="A14" s="33" t="s">
        <v>29</v>
      </c>
      <c r="B14" s="42" t="s">
        <v>30</v>
      </c>
      <c r="C14" s="45"/>
      <c r="D14" s="45" t="s">
        <v>31</v>
      </c>
      <c r="E14" s="45"/>
      <c r="F14" s="46">
        <f>F15</f>
        <v>400</v>
      </c>
      <c r="G14" s="39">
        <f>G15</f>
        <v>400</v>
      </c>
      <c r="H14" s="47">
        <f>IF(F14&gt;0,G14/F14*100,"")</f>
        <v>100</v>
      </c>
      <c r="I14" s="48" t="e">
        <f>F14/F168</f>
        <v>#REF!</v>
      </c>
      <c r="J14" s="49"/>
      <c r="K14" s="49">
        <f aca="true" t="shared" si="0" ref="K14:V14">K15</f>
        <v>0</v>
      </c>
      <c r="L14" s="49">
        <f t="shared" si="0"/>
        <v>0</v>
      </c>
      <c r="M14" s="49">
        <f t="shared" si="0"/>
        <v>300</v>
      </c>
      <c r="N14" s="49">
        <f t="shared" si="0"/>
        <v>0</v>
      </c>
      <c r="O14" s="49">
        <f t="shared" si="0"/>
        <v>0</v>
      </c>
      <c r="P14" s="50">
        <f t="shared" si="0"/>
        <v>600</v>
      </c>
      <c r="Q14" s="50">
        <f t="shared" si="0"/>
        <v>0</v>
      </c>
      <c r="R14" s="50">
        <f t="shared" si="0"/>
        <v>0</v>
      </c>
      <c r="S14" s="50">
        <f t="shared" si="0"/>
        <v>400</v>
      </c>
      <c r="T14" s="50">
        <f t="shared" si="0"/>
        <v>0</v>
      </c>
      <c r="U14" s="50">
        <f t="shared" si="0"/>
        <v>0</v>
      </c>
      <c r="V14" s="50">
        <f t="shared" si="0"/>
        <v>400</v>
      </c>
    </row>
    <row r="15" spans="1:22" ht="16.5" customHeight="1">
      <c r="A15" s="52"/>
      <c r="B15" s="37" t="s">
        <v>32</v>
      </c>
      <c r="C15" s="36"/>
      <c r="D15" s="36"/>
      <c r="E15" s="36" t="s">
        <v>33</v>
      </c>
      <c r="F15" s="38">
        <v>400</v>
      </c>
      <c r="G15" s="53">
        <v>400</v>
      </c>
      <c r="H15" s="40">
        <f>IF(F15&gt;0,G15/F15*100,"")</f>
        <v>100</v>
      </c>
      <c r="I15" s="41" t="e">
        <f>F15/F168</f>
        <v>#REF!</v>
      </c>
      <c r="J15" s="37"/>
      <c r="K15" s="37">
        <v>0</v>
      </c>
      <c r="L15" s="37">
        <v>0</v>
      </c>
      <c r="M15" s="37">
        <v>300</v>
      </c>
      <c r="N15" s="37">
        <v>0</v>
      </c>
      <c r="O15" s="37">
        <v>0</v>
      </c>
      <c r="P15" s="37">
        <v>600</v>
      </c>
      <c r="Q15" s="37">
        <v>0</v>
      </c>
      <c r="R15" s="37">
        <v>0</v>
      </c>
      <c r="S15" s="37">
        <v>400</v>
      </c>
      <c r="T15" s="37">
        <v>0</v>
      </c>
      <c r="U15" s="37">
        <v>0</v>
      </c>
      <c r="V15" s="37">
        <v>400</v>
      </c>
    </row>
    <row r="16" spans="1:22" s="57" customFormat="1" ht="15.75" customHeight="1">
      <c r="A16" s="22" t="s">
        <v>34</v>
      </c>
      <c r="B16" s="54" t="s">
        <v>35</v>
      </c>
      <c r="C16" s="24" t="s">
        <v>36</v>
      </c>
      <c r="D16" s="24"/>
      <c r="E16" s="24"/>
      <c r="F16" s="23"/>
      <c r="G16" s="23"/>
      <c r="H16" s="55"/>
      <c r="I16" s="55"/>
      <c r="J16" s="23"/>
      <c r="K16" s="23"/>
      <c r="L16" s="23"/>
      <c r="M16" s="23"/>
      <c r="N16" s="23"/>
      <c r="O16" s="23"/>
      <c r="P16" s="56"/>
      <c r="Q16" s="56"/>
      <c r="R16" s="56"/>
      <c r="S16" s="56">
        <f aca="true" t="shared" si="1" ref="S16:V17">S17</f>
        <v>141159</v>
      </c>
      <c r="T16" s="56">
        <f t="shared" si="1"/>
        <v>0</v>
      </c>
      <c r="U16" s="56">
        <f t="shared" si="1"/>
        <v>0</v>
      </c>
      <c r="V16" s="56">
        <f t="shared" si="1"/>
        <v>141159</v>
      </c>
    </row>
    <row r="17" spans="1:22" s="64" customFormat="1" ht="15.75" customHeight="1">
      <c r="A17" s="58" t="s">
        <v>26</v>
      </c>
      <c r="B17" s="59" t="s">
        <v>37</v>
      </c>
      <c r="C17" s="60"/>
      <c r="D17" s="60" t="s">
        <v>38</v>
      </c>
      <c r="E17" s="60"/>
      <c r="F17" s="61"/>
      <c r="G17" s="61"/>
      <c r="H17" s="62"/>
      <c r="I17" s="62"/>
      <c r="J17" s="61"/>
      <c r="K17" s="61"/>
      <c r="L17" s="61"/>
      <c r="M17" s="61"/>
      <c r="N17" s="61"/>
      <c r="O17" s="61"/>
      <c r="P17" s="63"/>
      <c r="Q17" s="63"/>
      <c r="R17" s="63"/>
      <c r="S17" s="63">
        <f t="shared" si="1"/>
        <v>141159</v>
      </c>
      <c r="T17" s="63">
        <f t="shared" si="1"/>
        <v>0</v>
      </c>
      <c r="U17" s="63">
        <f t="shared" si="1"/>
        <v>0</v>
      </c>
      <c r="V17" s="63">
        <f t="shared" si="1"/>
        <v>141159</v>
      </c>
    </row>
    <row r="18" spans="1:22" s="57" customFormat="1" ht="24" customHeight="1">
      <c r="A18" s="65"/>
      <c r="B18" s="66" t="s">
        <v>39</v>
      </c>
      <c r="C18" s="67"/>
      <c r="D18" s="67"/>
      <c r="E18" s="60" t="s">
        <v>40</v>
      </c>
      <c r="F18" s="68"/>
      <c r="G18" s="68"/>
      <c r="H18" s="69"/>
      <c r="I18" s="69"/>
      <c r="J18" s="68"/>
      <c r="K18" s="68"/>
      <c r="L18" s="68"/>
      <c r="M18" s="68"/>
      <c r="N18" s="68"/>
      <c r="O18" s="68"/>
      <c r="P18" s="70"/>
      <c r="Q18" s="70"/>
      <c r="R18" s="70"/>
      <c r="S18" s="63">
        <v>141159</v>
      </c>
      <c r="T18" s="71"/>
      <c r="U18" s="71"/>
      <c r="V18" s="44">
        <f>S18+T18+-U18</f>
        <v>141159</v>
      </c>
    </row>
    <row r="19" spans="1:22" ht="18" customHeight="1">
      <c r="A19" s="22" t="s">
        <v>41</v>
      </c>
      <c r="B19" s="23" t="s">
        <v>42</v>
      </c>
      <c r="C19" s="24" t="s">
        <v>43</v>
      </c>
      <c r="D19" s="24"/>
      <c r="E19" s="24"/>
      <c r="F19" s="72">
        <f>F20</f>
        <v>42000</v>
      </c>
      <c r="G19" s="73">
        <f>G20</f>
        <v>32000</v>
      </c>
      <c r="H19" s="55">
        <f>IF(F19&gt;0,G19/F19*100,"")</f>
        <v>76.19047619047619</v>
      </c>
      <c r="I19" s="74" t="e">
        <f>F19/F168</f>
        <v>#REF!</v>
      </c>
      <c r="J19" s="23"/>
      <c r="K19" s="23">
        <f aca="true" t="shared" si="2" ref="K19:V19">K20</f>
        <v>0</v>
      </c>
      <c r="L19" s="23">
        <f t="shared" si="2"/>
        <v>0</v>
      </c>
      <c r="M19" s="23">
        <f t="shared" si="2"/>
        <v>17000</v>
      </c>
      <c r="N19" s="23">
        <f t="shared" si="2"/>
        <v>0</v>
      </c>
      <c r="O19" s="23">
        <f t="shared" si="2"/>
        <v>0</v>
      </c>
      <c r="P19" s="56">
        <f t="shared" si="2"/>
        <v>5000</v>
      </c>
      <c r="Q19" s="56">
        <f t="shared" si="2"/>
        <v>0</v>
      </c>
      <c r="R19" s="56">
        <f t="shared" si="2"/>
        <v>0</v>
      </c>
      <c r="S19" s="56">
        <f t="shared" si="2"/>
        <v>2386460</v>
      </c>
      <c r="T19" s="56">
        <f t="shared" si="2"/>
        <v>497736</v>
      </c>
      <c r="U19" s="56">
        <f t="shared" si="2"/>
        <v>0</v>
      </c>
      <c r="V19" s="56">
        <f t="shared" si="2"/>
        <v>2884196</v>
      </c>
    </row>
    <row r="20" spans="1:22" s="51" customFormat="1" ht="18.75" customHeight="1">
      <c r="A20" s="33" t="s">
        <v>26</v>
      </c>
      <c r="B20" s="49" t="s">
        <v>44</v>
      </c>
      <c r="C20" s="45"/>
      <c r="D20" s="45" t="s">
        <v>45</v>
      </c>
      <c r="E20" s="45"/>
      <c r="F20" s="46">
        <f>F23+F26+F27</f>
        <v>42000</v>
      </c>
      <c r="G20" s="39">
        <f>G23+G26+G27+G28</f>
        <v>32000</v>
      </c>
      <c r="H20" s="47">
        <f>IF(F20&gt;0,G20/F20*100,"")</f>
        <v>76.19047619047619</v>
      </c>
      <c r="I20" s="48" t="e">
        <f>F20/F168</f>
        <v>#REF!</v>
      </c>
      <c r="J20" s="49"/>
      <c r="K20" s="49">
        <f>K23+K26+K27+K28</f>
        <v>0</v>
      </c>
      <c r="L20" s="49">
        <f>L23+L26+L27+L28</f>
        <v>0</v>
      </c>
      <c r="M20" s="49">
        <f>M23+M26+M27+M28</f>
        <v>17000</v>
      </c>
      <c r="N20" s="49">
        <f>N23+N26+N27+N28</f>
        <v>0</v>
      </c>
      <c r="O20" s="49">
        <f>O23+O26+O27+O28</f>
        <v>0</v>
      </c>
      <c r="P20" s="50">
        <f>P23+P26+P27+P28+P22</f>
        <v>5000</v>
      </c>
      <c r="Q20" s="50">
        <f>Q23+Q26+Q27+Q28+Q22</f>
        <v>0</v>
      </c>
      <c r="R20" s="50">
        <f>R23+R26+R27+R28+R22</f>
        <v>0</v>
      </c>
      <c r="S20" s="50">
        <f>S21+S22+S23+S24+S25+S26+S29+S30+S31+S32</f>
        <v>2386460</v>
      </c>
      <c r="T20" s="50">
        <f>T21+T22+T23+T24+T25+T26+T29+T30+T31+T32</f>
        <v>497736</v>
      </c>
      <c r="U20" s="50">
        <f>U21+U22+U23+U24+U25+U26+U29+U30+U31+U32</f>
        <v>0</v>
      </c>
      <c r="V20" s="50">
        <f>V21+V22+V23+V24+V25+V26+V29+V30+V31+V32</f>
        <v>2884196</v>
      </c>
    </row>
    <row r="21" spans="1:22" ht="24.75" customHeight="1">
      <c r="A21" s="52"/>
      <c r="B21" s="75" t="s">
        <v>46</v>
      </c>
      <c r="C21" s="76"/>
      <c r="D21" s="76"/>
      <c r="E21" s="45" t="s">
        <v>47</v>
      </c>
      <c r="F21" s="77"/>
      <c r="G21" s="78"/>
      <c r="H21" s="79"/>
      <c r="I21" s="80"/>
      <c r="J21" s="81"/>
      <c r="K21" s="81"/>
      <c r="L21" s="81"/>
      <c r="M21" s="81"/>
      <c r="N21" s="81"/>
      <c r="O21" s="81"/>
      <c r="P21" s="82"/>
      <c r="Q21" s="82"/>
      <c r="R21" s="82"/>
      <c r="S21" s="50">
        <v>0</v>
      </c>
      <c r="T21" s="83"/>
      <c r="U21" s="83"/>
      <c r="V21" s="44">
        <f aca="true" t="shared" si="3" ref="V21:V32">S21+T21+-U21</f>
        <v>0</v>
      </c>
    </row>
    <row r="22" spans="1:22" ht="16.5" customHeight="1">
      <c r="A22" s="52"/>
      <c r="B22" s="37" t="s">
        <v>32</v>
      </c>
      <c r="C22" s="76"/>
      <c r="D22" s="76"/>
      <c r="E22" s="45" t="s">
        <v>33</v>
      </c>
      <c r="F22" s="46"/>
      <c r="G22" s="39"/>
      <c r="H22" s="47"/>
      <c r="I22" s="48"/>
      <c r="J22" s="49"/>
      <c r="K22" s="49"/>
      <c r="L22" s="49"/>
      <c r="M22" s="49"/>
      <c r="N22" s="49"/>
      <c r="O22" s="49"/>
      <c r="P22" s="50">
        <v>200</v>
      </c>
      <c r="Q22" s="50">
        <v>0</v>
      </c>
      <c r="R22" s="50">
        <v>0</v>
      </c>
      <c r="S22" s="37">
        <v>0</v>
      </c>
      <c r="T22" s="43"/>
      <c r="U22" s="43"/>
      <c r="V22" s="44">
        <f t="shared" si="3"/>
        <v>0</v>
      </c>
    </row>
    <row r="23" spans="1:22" ht="24" customHeight="1">
      <c r="A23" s="52"/>
      <c r="B23" s="75" t="s">
        <v>48</v>
      </c>
      <c r="C23" s="36"/>
      <c r="D23" s="36"/>
      <c r="E23" s="36" t="s">
        <v>49</v>
      </c>
      <c r="F23" s="38">
        <v>17000</v>
      </c>
      <c r="G23" s="53">
        <v>18200</v>
      </c>
      <c r="H23" s="40">
        <f>IF(F23&gt;0,G23/F23*100,"")</f>
        <v>107.05882352941177</v>
      </c>
      <c r="I23" s="41" t="e">
        <f>F23/F168</f>
        <v>#REF!</v>
      </c>
      <c r="J23" s="37"/>
      <c r="K23" s="37">
        <v>0</v>
      </c>
      <c r="L23" s="37">
        <v>0</v>
      </c>
      <c r="M23" s="37">
        <v>1747</v>
      </c>
      <c r="N23" s="37">
        <v>0</v>
      </c>
      <c r="O23" s="37">
        <v>0</v>
      </c>
      <c r="P23" s="37">
        <v>2617</v>
      </c>
      <c r="Q23" s="37">
        <v>0</v>
      </c>
      <c r="R23" s="37">
        <v>0</v>
      </c>
      <c r="S23" s="37">
        <v>2700</v>
      </c>
      <c r="T23" s="43">
        <v>1516</v>
      </c>
      <c r="U23" s="43"/>
      <c r="V23" s="44">
        <f t="shared" si="3"/>
        <v>4216</v>
      </c>
    </row>
    <row r="24" spans="1:22" ht="16.5" customHeight="1">
      <c r="A24" s="52"/>
      <c r="B24" s="42" t="s">
        <v>50</v>
      </c>
      <c r="C24" s="36"/>
      <c r="D24" s="36"/>
      <c r="E24" s="36" t="s">
        <v>51</v>
      </c>
      <c r="F24" s="38"/>
      <c r="G24" s="53"/>
      <c r="H24" s="40"/>
      <c r="I24" s="41"/>
      <c r="J24" s="37"/>
      <c r="K24" s="37"/>
      <c r="L24" s="37"/>
      <c r="M24" s="37"/>
      <c r="N24" s="37"/>
      <c r="O24" s="37"/>
      <c r="P24" s="37"/>
      <c r="Q24" s="37"/>
      <c r="R24" s="37"/>
      <c r="S24" s="37">
        <v>0</v>
      </c>
      <c r="T24" s="43">
        <v>5572</v>
      </c>
      <c r="U24" s="43"/>
      <c r="V24" s="44">
        <f t="shared" si="3"/>
        <v>5572</v>
      </c>
    </row>
    <row r="25" spans="1:22" ht="17.25" customHeight="1">
      <c r="A25" s="52"/>
      <c r="B25" s="75" t="s">
        <v>52</v>
      </c>
      <c r="C25" s="36"/>
      <c r="D25" s="36"/>
      <c r="E25" s="36" t="s">
        <v>53</v>
      </c>
      <c r="F25" s="38"/>
      <c r="G25" s="53"/>
      <c r="H25" s="40"/>
      <c r="I25" s="41"/>
      <c r="J25" s="37"/>
      <c r="K25" s="37"/>
      <c r="L25" s="37"/>
      <c r="M25" s="37"/>
      <c r="N25" s="37"/>
      <c r="O25" s="37"/>
      <c r="P25" s="37"/>
      <c r="Q25" s="37"/>
      <c r="R25" s="37"/>
      <c r="S25" s="37">
        <v>0</v>
      </c>
      <c r="T25" s="43">
        <v>212</v>
      </c>
      <c r="U25" s="43"/>
      <c r="V25" s="44">
        <f t="shared" si="3"/>
        <v>212</v>
      </c>
    </row>
    <row r="26" spans="1:22" ht="18" customHeight="1">
      <c r="A26" s="52"/>
      <c r="B26" s="37" t="s">
        <v>54</v>
      </c>
      <c r="C26" s="36"/>
      <c r="D26" s="36"/>
      <c r="E26" s="36" t="s">
        <v>55</v>
      </c>
      <c r="F26" s="38">
        <v>18000</v>
      </c>
      <c r="G26" s="53">
        <v>9400</v>
      </c>
      <c r="H26" s="40">
        <f>IF(F26&gt;0,G26/F26*100,"")</f>
        <v>52.22222222222223</v>
      </c>
      <c r="I26" s="41" t="e">
        <f>F26/F168</f>
        <v>#REF!</v>
      </c>
      <c r="J26" s="37"/>
      <c r="K26" s="37">
        <v>0</v>
      </c>
      <c r="L26" s="37">
        <v>0</v>
      </c>
      <c r="M26" s="37">
        <v>7749</v>
      </c>
      <c r="N26" s="37">
        <v>0</v>
      </c>
      <c r="O26" s="37">
        <v>0</v>
      </c>
      <c r="P26" s="37">
        <v>1700</v>
      </c>
      <c r="Q26" s="37">
        <v>0</v>
      </c>
      <c r="R26" s="37">
        <v>0</v>
      </c>
      <c r="S26" s="37">
        <v>0</v>
      </c>
      <c r="T26" s="43"/>
      <c r="U26" s="43"/>
      <c r="V26" s="44">
        <f t="shared" si="3"/>
        <v>0</v>
      </c>
    </row>
    <row r="27" spans="1:22" ht="0.75" customHeight="1" hidden="1">
      <c r="A27" s="52"/>
      <c r="B27" s="75" t="s">
        <v>52</v>
      </c>
      <c r="C27" s="36"/>
      <c r="D27" s="36"/>
      <c r="E27" s="36" t="s">
        <v>53</v>
      </c>
      <c r="F27" s="38">
        <v>7000</v>
      </c>
      <c r="G27" s="53">
        <v>4400</v>
      </c>
      <c r="H27" s="40">
        <f>IF(F27&gt;0,G27/F27*100,"")</f>
        <v>62.857142857142854</v>
      </c>
      <c r="I27" s="41" t="e">
        <f>F27/F168</f>
        <v>#REF!</v>
      </c>
      <c r="J27" s="37"/>
      <c r="K27" s="37">
        <v>0</v>
      </c>
      <c r="L27" s="37">
        <v>0</v>
      </c>
      <c r="M27" s="37">
        <v>200</v>
      </c>
      <c r="N27" s="37">
        <v>0</v>
      </c>
      <c r="O27" s="37">
        <v>0</v>
      </c>
      <c r="P27" s="37">
        <v>483</v>
      </c>
      <c r="Q27" s="37">
        <v>0</v>
      </c>
      <c r="R27" s="37">
        <v>0</v>
      </c>
      <c r="S27" s="37">
        <v>0</v>
      </c>
      <c r="T27" s="43"/>
      <c r="U27" s="43"/>
      <c r="V27" s="44">
        <f t="shared" si="3"/>
        <v>0</v>
      </c>
    </row>
    <row r="28" spans="1:22" ht="12.75" customHeight="1" hidden="1">
      <c r="A28" s="52"/>
      <c r="B28" s="75" t="s">
        <v>56</v>
      </c>
      <c r="C28" s="36"/>
      <c r="D28" s="36"/>
      <c r="E28" s="36" t="s">
        <v>57</v>
      </c>
      <c r="F28" s="38"/>
      <c r="G28" s="53">
        <v>0</v>
      </c>
      <c r="H28" s="40"/>
      <c r="I28" s="41"/>
      <c r="J28" s="37"/>
      <c r="K28" s="37">
        <v>0</v>
      </c>
      <c r="L28" s="37">
        <v>0</v>
      </c>
      <c r="M28" s="37">
        <v>7304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/>
      <c r="T28" s="43"/>
      <c r="U28" s="43"/>
      <c r="V28" s="44">
        <f t="shared" si="3"/>
        <v>0</v>
      </c>
    </row>
    <row r="29" spans="1:22" ht="24.75" customHeight="1">
      <c r="A29" s="33"/>
      <c r="B29" s="84" t="s">
        <v>58</v>
      </c>
      <c r="C29" s="45"/>
      <c r="D29" s="45"/>
      <c r="E29" s="45" t="s">
        <v>59</v>
      </c>
      <c r="F29" s="49"/>
      <c r="G29" s="49"/>
      <c r="H29" s="47"/>
      <c r="I29" s="47"/>
      <c r="J29" s="49"/>
      <c r="K29" s="49"/>
      <c r="L29" s="49"/>
      <c r="M29" s="49"/>
      <c r="N29" s="49"/>
      <c r="O29" s="49"/>
      <c r="P29" s="50"/>
      <c r="Q29" s="50"/>
      <c r="R29" s="50"/>
      <c r="S29" s="50">
        <v>1988005</v>
      </c>
      <c r="T29" s="83">
        <v>433814</v>
      </c>
      <c r="U29" s="83"/>
      <c r="V29" s="44">
        <f t="shared" si="3"/>
        <v>2421819</v>
      </c>
    </row>
    <row r="30" spans="1:22" ht="24" customHeight="1">
      <c r="A30" s="33"/>
      <c r="B30" s="84" t="s">
        <v>60</v>
      </c>
      <c r="C30" s="45"/>
      <c r="D30" s="45"/>
      <c r="E30" s="45" t="s">
        <v>61</v>
      </c>
      <c r="F30" s="49"/>
      <c r="G30" s="49"/>
      <c r="H30" s="47"/>
      <c r="I30" s="47"/>
      <c r="J30" s="49"/>
      <c r="K30" s="49"/>
      <c r="L30" s="49"/>
      <c r="M30" s="49"/>
      <c r="N30" s="49"/>
      <c r="O30" s="49"/>
      <c r="P30" s="50"/>
      <c r="Q30" s="50"/>
      <c r="R30" s="50"/>
      <c r="S30" s="50">
        <v>275755</v>
      </c>
      <c r="T30" s="83">
        <v>56622</v>
      </c>
      <c r="U30" s="85"/>
      <c r="V30" s="44">
        <f t="shared" si="3"/>
        <v>332377</v>
      </c>
    </row>
    <row r="31" spans="1:22" ht="25.5" customHeight="1">
      <c r="A31" s="86"/>
      <c r="B31" s="87" t="s">
        <v>62</v>
      </c>
      <c r="C31" s="35"/>
      <c r="D31" s="88"/>
      <c r="E31" s="89">
        <v>6610</v>
      </c>
      <c r="F31" s="77"/>
      <c r="G31" s="78"/>
      <c r="H31" s="79"/>
      <c r="I31" s="80"/>
      <c r="J31" s="81"/>
      <c r="K31" s="81"/>
      <c r="L31" s="81"/>
      <c r="M31" s="81"/>
      <c r="N31" s="81"/>
      <c r="O31" s="81"/>
      <c r="P31" s="37">
        <v>60000</v>
      </c>
      <c r="Q31" s="37">
        <v>0</v>
      </c>
      <c r="R31" s="37">
        <v>0</v>
      </c>
      <c r="S31" s="90">
        <v>50000</v>
      </c>
      <c r="T31" s="91"/>
      <c r="U31" s="91"/>
      <c r="V31" s="44">
        <f t="shared" si="3"/>
        <v>50000</v>
      </c>
    </row>
    <row r="32" spans="1:22" ht="25.5" customHeight="1">
      <c r="A32" s="86"/>
      <c r="B32" s="87" t="s">
        <v>62</v>
      </c>
      <c r="C32" s="35"/>
      <c r="D32" s="88"/>
      <c r="E32" s="89">
        <v>6619</v>
      </c>
      <c r="F32" s="77"/>
      <c r="G32" s="78"/>
      <c r="H32" s="79"/>
      <c r="I32" s="80"/>
      <c r="J32" s="81"/>
      <c r="K32" s="81"/>
      <c r="L32" s="81"/>
      <c r="M32" s="81"/>
      <c r="N32" s="81"/>
      <c r="O32" s="81"/>
      <c r="P32" s="37"/>
      <c r="Q32" s="37"/>
      <c r="R32" s="37"/>
      <c r="S32" s="90">
        <v>70000</v>
      </c>
      <c r="T32" s="91"/>
      <c r="U32" s="91"/>
      <c r="V32" s="44">
        <f t="shared" si="3"/>
        <v>70000</v>
      </c>
    </row>
    <row r="33" spans="1:22" ht="25.5">
      <c r="A33" s="22" t="s">
        <v>63</v>
      </c>
      <c r="B33" s="54" t="s">
        <v>64</v>
      </c>
      <c r="C33" s="24" t="s">
        <v>65</v>
      </c>
      <c r="D33" s="92"/>
      <c r="E33" s="92"/>
      <c r="F33" s="27">
        <f>F34</f>
        <v>576998</v>
      </c>
      <c r="G33" s="73">
        <f>G34</f>
        <v>906816</v>
      </c>
      <c r="H33" s="55">
        <f>IF(F33&gt;0,G33/F33*100,"")</f>
        <v>157.1610300209013</v>
      </c>
      <c r="I33" s="74" t="e">
        <f>F33/F168</f>
        <v>#REF!</v>
      </c>
      <c r="J33" s="23"/>
      <c r="K33" s="23">
        <f aca="true" t="shared" si="4" ref="K33:V33">K34</f>
        <v>0</v>
      </c>
      <c r="L33" s="23">
        <f t="shared" si="4"/>
        <v>200000</v>
      </c>
      <c r="M33" s="23" t="e">
        <f t="shared" si="4"/>
        <v>#REF!</v>
      </c>
      <c r="N33" s="23" t="e">
        <f t="shared" si="4"/>
        <v>#REF!</v>
      </c>
      <c r="O33" s="23" t="e">
        <f t="shared" si="4"/>
        <v>#REF!</v>
      </c>
      <c r="P33" s="56" t="e">
        <f t="shared" si="4"/>
        <v>#REF!</v>
      </c>
      <c r="Q33" s="56" t="e">
        <f t="shared" si="4"/>
        <v>#REF!</v>
      </c>
      <c r="R33" s="56" t="e">
        <f t="shared" si="4"/>
        <v>#REF!</v>
      </c>
      <c r="S33" s="56">
        <f t="shared" si="4"/>
        <v>1513890</v>
      </c>
      <c r="T33" s="56">
        <f t="shared" si="4"/>
        <v>0</v>
      </c>
      <c r="U33" s="56">
        <f t="shared" si="4"/>
        <v>0</v>
      </c>
      <c r="V33" s="56">
        <f t="shared" si="4"/>
        <v>1513890</v>
      </c>
    </row>
    <row r="34" spans="1:22" ht="26.25" customHeight="1">
      <c r="A34" s="86" t="s">
        <v>26</v>
      </c>
      <c r="B34" s="93" t="s">
        <v>66</v>
      </c>
      <c r="C34" s="76"/>
      <c r="D34" s="76" t="s">
        <v>67</v>
      </c>
      <c r="E34" s="76"/>
      <c r="F34" s="77">
        <f>F37+F39</f>
        <v>576998</v>
      </c>
      <c r="G34" s="78">
        <f>G37+G39+G38</f>
        <v>906816</v>
      </c>
      <c r="H34" s="79">
        <f>IF(F34&gt;0,G34/F34*100,"")</f>
        <v>157.1610300209013</v>
      </c>
      <c r="I34" s="80" t="e">
        <f>F34/F168</f>
        <v>#REF!</v>
      </c>
      <c r="J34" s="81"/>
      <c r="K34" s="81">
        <f>K37+K39+K38</f>
        <v>0</v>
      </c>
      <c r="L34" s="81">
        <f>L37+L39+L38</f>
        <v>200000</v>
      </c>
      <c r="M34" s="81" t="e">
        <f>M37+M38+M39+#REF!+M36</f>
        <v>#REF!</v>
      </c>
      <c r="N34" s="81" t="e">
        <f>N37+N38+N39+#REF!+N36</f>
        <v>#REF!</v>
      </c>
      <c r="O34" s="81" t="e">
        <f>O37+O38+O39+#REF!+O36</f>
        <v>#REF!</v>
      </c>
      <c r="P34" s="82" t="e">
        <f>P37+P38+P39+#REF!+P36+P35</f>
        <v>#REF!</v>
      </c>
      <c r="Q34" s="82" t="e">
        <f>Q37+Q38+Q39+#REF!+Q36+Q35</f>
        <v>#REF!</v>
      </c>
      <c r="R34" s="82" t="e">
        <f>R37+R38+R39+#REF!+R36+R35</f>
        <v>#REF!</v>
      </c>
      <c r="S34" s="82">
        <f>S35+S36+S37+S38+S39+S40</f>
        <v>1513890</v>
      </c>
      <c r="T34" s="82">
        <f>T35+T36+T37+T38+T39+T40</f>
        <v>0</v>
      </c>
      <c r="U34" s="82">
        <f>U35+U36+U37+U38+U39+U40</f>
        <v>0</v>
      </c>
      <c r="V34" s="82">
        <f>V35+V36+V37+V38+V39+V40</f>
        <v>1513890</v>
      </c>
    </row>
    <row r="35" spans="1:22" ht="14.25" customHeight="1">
      <c r="A35" s="86"/>
      <c r="B35" s="37" t="s">
        <v>32</v>
      </c>
      <c r="C35" s="76"/>
      <c r="D35" s="45"/>
      <c r="E35" s="45" t="s">
        <v>33</v>
      </c>
      <c r="F35" s="46"/>
      <c r="G35" s="39"/>
      <c r="H35" s="47"/>
      <c r="I35" s="48"/>
      <c r="J35" s="49"/>
      <c r="K35" s="49"/>
      <c r="L35" s="49"/>
      <c r="M35" s="49"/>
      <c r="N35" s="49"/>
      <c r="O35" s="49"/>
      <c r="P35" s="50">
        <v>26</v>
      </c>
      <c r="Q35" s="50">
        <v>0</v>
      </c>
      <c r="R35" s="50">
        <v>0</v>
      </c>
      <c r="S35" s="37">
        <v>26</v>
      </c>
      <c r="T35" s="43"/>
      <c r="U35" s="43"/>
      <c r="V35" s="44">
        <f aca="true" t="shared" si="5" ref="V35:V40">S35+T35-U35</f>
        <v>26</v>
      </c>
    </row>
    <row r="36" spans="1:22" ht="26.25" customHeight="1">
      <c r="A36" s="33"/>
      <c r="B36" s="75" t="s">
        <v>48</v>
      </c>
      <c r="C36" s="45"/>
      <c r="D36" s="45"/>
      <c r="E36" s="45" t="s">
        <v>49</v>
      </c>
      <c r="F36" s="46"/>
      <c r="G36" s="39"/>
      <c r="H36" s="47"/>
      <c r="I36" s="48"/>
      <c r="J36" s="49"/>
      <c r="K36" s="49"/>
      <c r="L36" s="49"/>
      <c r="M36" s="49">
        <v>8213</v>
      </c>
      <c r="N36" s="49">
        <v>0</v>
      </c>
      <c r="O36" s="49">
        <v>0</v>
      </c>
      <c r="P36" s="37">
        <v>9201</v>
      </c>
      <c r="Q36" s="37">
        <v>0</v>
      </c>
      <c r="R36" s="37">
        <v>0</v>
      </c>
      <c r="S36" s="37">
        <v>5350</v>
      </c>
      <c r="T36" s="43"/>
      <c r="U36" s="43"/>
      <c r="V36" s="44">
        <f t="shared" si="5"/>
        <v>5350</v>
      </c>
    </row>
    <row r="37" spans="1:22" ht="15.75" customHeight="1">
      <c r="A37" s="33"/>
      <c r="B37" s="42" t="s">
        <v>50</v>
      </c>
      <c r="C37" s="36"/>
      <c r="D37" s="36"/>
      <c r="E37" s="36" t="s">
        <v>51</v>
      </c>
      <c r="F37" s="38">
        <v>570998</v>
      </c>
      <c r="G37" s="53">
        <v>882016</v>
      </c>
      <c r="H37" s="40">
        <f>IF(F37&gt;0,G37/F37*100,"")</f>
        <v>154.46919253657632</v>
      </c>
      <c r="I37" s="41" t="e">
        <f>F37/F168</f>
        <v>#REF!</v>
      </c>
      <c r="J37" s="37"/>
      <c r="K37" s="37">
        <v>0</v>
      </c>
      <c r="L37" s="37">
        <v>200000</v>
      </c>
      <c r="M37" s="37">
        <v>547167</v>
      </c>
      <c r="N37" s="37">
        <v>0</v>
      </c>
      <c r="O37" s="37">
        <v>0</v>
      </c>
      <c r="P37" s="37">
        <v>425245</v>
      </c>
      <c r="Q37" s="37">
        <v>0</v>
      </c>
      <c r="R37" s="37">
        <v>0</v>
      </c>
      <c r="S37" s="37">
        <v>1409112</v>
      </c>
      <c r="T37" s="43"/>
      <c r="U37" s="43"/>
      <c r="V37" s="44">
        <f t="shared" si="5"/>
        <v>1409112</v>
      </c>
    </row>
    <row r="38" spans="1:22" ht="12.75" customHeight="1">
      <c r="A38" s="33"/>
      <c r="B38" s="42" t="s">
        <v>52</v>
      </c>
      <c r="C38" s="36"/>
      <c r="D38" s="36"/>
      <c r="E38" s="36" t="s">
        <v>53</v>
      </c>
      <c r="F38" s="38"/>
      <c r="G38" s="53">
        <v>7000</v>
      </c>
      <c r="H38" s="40"/>
      <c r="I38" s="41"/>
      <c r="J38" s="37"/>
      <c r="K38" s="37">
        <v>0</v>
      </c>
      <c r="L38" s="37">
        <v>0</v>
      </c>
      <c r="M38" s="37">
        <v>800</v>
      </c>
      <c r="N38" s="37">
        <v>0</v>
      </c>
      <c r="O38" s="37">
        <v>0</v>
      </c>
      <c r="P38" s="37">
        <v>4899</v>
      </c>
      <c r="Q38" s="37">
        <v>0</v>
      </c>
      <c r="R38" s="37">
        <v>0</v>
      </c>
      <c r="S38" s="37">
        <v>2750</v>
      </c>
      <c r="T38" s="43"/>
      <c r="U38" s="43"/>
      <c r="V38" s="44">
        <f t="shared" si="5"/>
        <v>2750</v>
      </c>
    </row>
    <row r="39" spans="1:22" ht="14.25" customHeight="1">
      <c r="A39" s="86"/>
      <c r="B39" s="42" t="s">
        <v>68</v>
      </c>
      <c r="C39" s="36"/>
      <c r="D39" s="36"/>
      <c r="E39" s="36" t="s">
        <v>55</v>
      </c>
      <c r="F39" s="38">
        <v>6000</v>
      </c>
      <c r="G39" s="53">
        <v>17800</v>
      </c>
      <c r="H39" s="40">
        <f>IF(F39&gt;0,G39/F39*100,"")</f>
        <v>296.6666666666667</v>
      </c>
      <c r="I39" s="41" t="e">
        <f>F39/F168</f>
        <v>#REF!</v>
      </c>
      <c r="J39" s="37"/>
      <c r="K39" s="37">
        <v>0</v>
      </c>
      <c r="L39" s="37">
        <v>0</v>
      </c>
      <c r="M39" s="37">
        <v>9000</v>
      </c>
      <c r="N39" s="37">
        <v>0</v>
      </c>
      <c r="O39" s="37">
        <v>0</v>
      </c>
      <c r="P39" s="37">
        <v>7950</v>
      </c>
      <c r="Q39" s="37">
        <v>0</v>
      </c>
      <c r="R39" s="37">
        <v>0</v>
      </c>
      <c r="S39" s="37">
        <v>34652</v>
      </c>
      <c r="T39" s="43"/>
      <c r="U39" s="43"/>
      <c r="V39" s="44">
        <f t="shared" si="5"/>
        <v>34652</v>
      </c>
    </row>
    <row r="40" spans="1:22" ht="24.75" customHeight="1">
      <c r="A40" s="52"/>
      <c r="B40" s="75" t="s">
        <v>69</v>
      </c>
      <c r="C40" s="35"/>
      <c r="D40" s="35"/>
      <c r="E40" s="35">
        <v>2110</v>
      </c>
      <c r="F40" s="38">
        <v>15000</v>
      </c>
      <c r="G40" s="53">
        <v>37000</v>
      </c>
      <c r="H40" s="40">
        <f>IF(F40&gt;0,G40/F40*100,"")</f>
        <v>246.66666666666669</v>
      </c>
      <c r="I40" s="41" t="e">
        <f>F40/F168</f>
        <v>#REF!</v>
      </c>
      <c r="J40" s="37"/>
      <c r="K40" s="37">
        <v>0</v>
      </c>
      <c r="L40" s="37">
        <v>0</v>
      </c>
      <c r="M40" s="37">
        <v>4000</v>
      </c>
      <c r="N40" s="37">
        <v>0</v>
      </c>
      <c r="O40" s="37">
        <v>0</v>
      </c>
      <c r="P40" s="37">
        <v>22000</v>
      </c>
      <c r="Q40" s="37">
        <v>0</v>
      </c>
      <c r="R40" s="37">
        <v>0</v>
      </c>
      <c r="S40" s="37">
        <v>62000</v>
      </c>
      <c r="T40" s="43"/>
      <c r="U40" s="43"/>
      <c r="V40" s="44">
        <f t="shared" si="5"/>
        <v>62000</v>
      </c>
    </row>
    <row r="41" spans="1:22" ht="14.25" customHeight="1">
      <c r="A41" s="22" t="s">
        <v>70</v>
      </c>
      <c r="B41" s="54" t="s">
        <v>71</v>
      </c>
      <c r="C41" s="25">
        <v>710</v>
      </c>
      <c r="D41" s="25"/>
      <c r="E41" s="25"/>
      <c r="F41" s="27">
        <f>F42+F44+F46</f>
        <v>170602</v>
      </c>
      <c r="G41" s="73">
        <f>G42+G44+G46</f>
        <v>139020</v>
      </c>
      <c r="H41" s="55">
        <f>IF(F41&gt;0,G41/F41*100,"")</f>
        <v>81.48790752746157</v>
      </c>
      <c r="I41" s="74" t="e">
        <f>F41/F168</f>
        <v>#REF!</v>
      </c>
      <c r="J41" s="23"/>
      <c r="K41" s="23">
        <f aca="true" t="shared" si="6" ref="K41:V41">K42+K44+K46</f>
        <v>0</v>
      </c>
      <c r="L41" s="23">
        <f t="shared" si="6"/>
        <v>0</v>
      </c>
      <c r="M41" s="23">
        <f t="shared" si="6"/>
        <v>114563</v>
      </c>
      <c r="N41" s="23">
        <f t="shared" si="6"/>
        <v>0</v>
      </c>
      <c r="O41" s="23">
        <f t="shared" si="6"/>
        <v>0</v>
      </c>
      <c r="P41" s="56">
        <f t="shared" si="6"/>
        <v>137866</v>
      </c>
      <c r="Q41" s="56">
        <f t="shared" si="6"/>
        <v>0</v>
      </c>
      <c r="R41" s="56">
        <f t="shared" si="6"/>
        <v>0</v>
      </c>
      <c r="S41" s="56">
        <f t="shared" si="6"/>
        <v>243547</v>
      </c>
      <c r="T41" s="56">
        <f t="shared" si="6"/>
        <v>3000</v>
      </c>
      <c r="U41" s="56">
        <f t="shared" si="6"/>
        <v>0</v>
      </c>
      <c r="V41" s="56">
        <f t="shared" si="6"/>
        <v>246547</v>
      </c>
    </row>
    <row r="42" spans="1:22" ht="26.25" customHeight="1">
      <c r="A42" s="52" t="s">
        <v>26</v>
      </c>
      <c r="B42" s="75" t="s">
        <v>72</v>
      </c>
      <c r="C42" s="35"/>
      <c r="D42" s="35">
        <v>71013</v>
      </c>
      <c r="E42" s="37"/>
      <c r="F42" s="38">
        <v>79900</v>
      </c>
      <c r="G42" s="53">
        <v>52100</v>
      </c>
      <c r="H42" s="40">
        <f>IF(F42&gt;0,G42/F42*100,"")</f>
        <v>65.20650813516896</v>
      </c>
      <c r="I42" s="41" t="e">
        <f>F42/F168</f>
        <v>#REF!</v>
      </c>
      <c r="J42" s="37"/>
      <c r="K42" s="37">
        <v>0</v>
      </c>
      <c r="L42" s="37">
        <v>0</v>
      </c>
      <c r="M42" s="37">
        <v>35000</v>
      </c>
      <c r="N42" s="37">
        <v>0</v>
      </c>
      <c r="O42" s="37">
        <v>0</v>
      </c>
      <c r="P42" s="37">
        <v>52000</v>
      </c>
      <c r="Q42" s="37">
        <v>0</v>
      </c>
      <c r="R42" s="37">
        <v>0</v>
      </c>
      <c r="S42" s="37">
        <f>S43</f>
        <v>40000</v>
      </c>
      <c r="T42" s="37">
        <f>T43</f>
        <v>0</v>
      </c>
      <c r="U42" s="37">
        <f>U43</f>
        <v>0</v>
      </c>
      <c r="V42" s="37">
        <f>V43</f>
        <v>40000</v>
      </c>
    </row>
    <row r="43" spans="1:22" ht="26.25" customHeight="1">
      <c r="A43" s="52"/>
      <c r="B43" s="75" t="s">
        <v>69</v>
      </c>
      <c r="C43" s="35"/>
      <c r="D43" s="35"/>
      <c r="E43" s="35">
        <v>2110</v>
      </c>
      <c r="F43" s="38"/>
      <c r="G43" s="53"/>
      <c r="H43" s="40"/>
      <c r="I43" s="41"/>
      <c r="J43" s="37"/>
      <c r="K43" s="37"/>
      <c r="L43" s="37"/>
      <c r="M43" s="37"/>
      <c r="N43" s="37"/>
      <c r="O43" s="37"/>
      <c r="P43" s="37"/>
      <c r="Q43" s="37"/>
      <c r="R43" s="37"/>
      <c r="S43" s="37">
        <v>40000</v>
      </c>
      <c r="T43" s="43"/>
      <c r="U43" s="43"/>
      <c r="V43" s="44">
        <f aca="true" t="shared" si="7" ref="V43:V74">S43+T43-U43</f>
        <v>40000</v>
      </c>
    </row>
    <row r="44" spans="1:22" ht="25.5" customHeight="1">
      <c r="A44" s="52" t="s">
        <v>29</v>
      </c>
      <c r="B44" s="75" t="s">
        <v>73</v>
      </c>
      <c r="C44" s="35"/>
      <c r="D44" s="35">
        <v>71014</v>
      </c>
      <c r="E44" s="37"/>
      <c r="F44" s="38">
        <v>20000</v>
      </c>
      <c r="G44" s="53">
        <v>8000</v>
      </c>
      <c r="H44" s="40">
        <f>IF(F44&gt;0,G44/F44*100,"")</f>
        <v>40</v>
      </c>
      <c r="I44" s="41" t="e">
        <f>F44/F168</f>
        <v>#REF!</v>
      </c>
      <c r="J44" s="37"/>
      <c r="K44" s="37">
        <v>0</v>
      </c>
      <c r="L44" s="37">
        <v>0</v>
      </c>
      <c r="M44" s="37">
        <v>4000</v>
      </c>
      <c r="N44" s="37">
        <v>0</v>
      </c>
      <c r="O44" s="37">
        <v>0</v>
      </c>
      <c r="P44" s="37">
        <v>4000</v>
      </c>
      <c r="Q44" s="37">
        <v>0</v>
      </c>
      <c r="R44" s="37">
        <v>0</v>
      </c>
      <c r="S44" s="37">
        <f>S45</f>
        <v>22000</v>
      </c>
      <c r="T44" s="37">
        <f>T45</f>
        <v>3000</v>
      </c>
      <c r="U44" s="37">
        <f>U45</f>
        <v>0</v>
      </c>
      <c r="V44" s="44">
        <f t="shared" si="7"/>
        <v>25000</v>
      </c>
    </row>
    <row r="45" spans="1:22" ht="27.75" customHeight="1">
      <c r="A45" s="52"/>
      <c r="B45" s="75" t="s">
        <v>69</v>
      </c>
      <c r="C45" s="35"/>
      <c r="D45" s="35"/>
      <c r="E45" s="35">
        <v>2110</v>
      </c>
      <c r="F45" s="38"/>
      <c r="G45" s="53"/>
      <c r="H45" s="40"/>
      <c r="I45" s="41"/>
      <c r="J45" s="37"/>
      <c r="K45" s="37"/>
      <c r="L45" s="37"/>
      <c r="M45" s="37"/>
      <c r="N45" s="37"/>
      <c r="O45" s="37"/>
      <c r="P45" s="37"/>
      <c r="Q45" s="37"/>
      <c r="R45" s="37"/>
      <c r="S45" s="37">
        <v>22000</v>
      </c>
      <c r="T45" s="43">
        <v>3000</v>
      </c>
      <c r="U45" s="43"/>
      <c r="V45" s="44">
        <f t="shared" si="7"/>
        <v>25000</v>
      </c>
    </row>
    <row r="46" spans="1:22" ht="17.25" customHeight="1">
      <c r="A46" s="52" t="s">
        <v>74</v>
      </c>
      <c r="B46" s="75" t="s">
        <v>75</v>
      </c>
      <c r="C46" s="35"/>
      <c r="D46" s="35">
        <v>71015</v>
      </c>
      <c r="E46" s="37"/>
      <c r="F46" s="38">
        <v>70702</v>
      </c>
      <c r="G46" s="53">
        <v>78920</v>
      </c>
      <c r="H46" s="40">
        <f>IF(F46&gt;0,G46/F46*100,"")</f>
        <v>111.62343356623575</v>
      </c>
      <c r="I46" s="41" t="e">
        <f>F46/F168</f>
        <v>#REF!</v>
      </c>
      <c r="J46" s="37"/>
      <c r="K46" s="37">
        <v>0</v>
      </c>
      <c r="L46" s="37">
        <v>0</v>
      </c>
      <c r="M46" s="37">
        <v>75563</v>
      </c>
      <c r="N46" s="37">
        <v>0</v>
      </c>
      <c r="O46" s="37">
        <v>0</v>
      </c>
      <c r="P46" s="37">
        <v>81866</v>
      </c>
      <c r="Q46" s="37">
        <v>0</v>
      </c>
      <c r="R46" s="37">
        <v>0</v>
      </c>
      <c r="S46" s="37">
        <f>S47</f>
        <v>181547</v>
      </c>
      <c r="T46" s="37">
        <f>T47</f>
        <v>0</v>
      </c>
      <c r="U46" s="43"/>
      <c r="V46" s="44">
        <f t="shared" si="7"/>
        <v>181547</v>
      </c>
    </row>
    <row r="47" spans="1:22" ht="26.25" customHeight="1">
      <c r="A47" s="52"/>
      <c r="B47" s="75" t="s">
        <v>69</v>
      </c>
      <c r="C47" s="35"/>
      <c r="D47" s="35"/>
      <c r="E47" s="35">
        <v>2110</v>
      </c>
      <c r="F47" s="38"/>
      <c r="G47" s="53"/>
      <c r="H47" s="40"/>
      <c r="I47" s="41"/>
      <c r="J47" s="37"/>
      <c r="K47" s="37"/>
      <c r="L47" s="37"/>
      <c r="M47" s="37"/>
      <c r="N47" s="37"/>
      <c r="O47" s="37"/>
      <c r="P47" s="37"/>
      <c r="Q47" s="37"/>
      <c r="R47" s="37"/>
      <c r="S47" s="37">
        <v>181547</v>
      </c>
      <c r="T47" s="43"/>
      <c r="U47" s="43"/>
      <c r="V47" s="44">
        <f t="shared" si="7"/>
        <v>181547</v>
      </c>
    </row>
    <row r="48" spans="1:22" ht="16.5" customHeight="1">
      <c r="A48" s="22" t="s">
        <v>76</v>
      </c>
      <c r="B48" s="54" t="s">
        <v>77</v>
      </c>
      <c r="C48" s="25">
        <v>750</v>
      </c>
      <c r="D48" s="25"/>
      <c r="E48" s="94"/>
      <c r="F48" s="72">
        <f>F49+F57</f>
        <v>142453</v>
      </c>
      <c r="G48" s="73">
        <f>G49+G57</f>
        <v>144857</v>
      </c>
      <c r="H48" s="55">
        <f>IF(F48&gt;0,G48/F48*100,"")</f>
        <v>101.68757414726261</v>
      </c>
      <c r="I48" s="74" t="e">
        <f>F48/F168</f>
        <v>#REF!</v>
      </c>
      <c r="J48" s="23"/>
      <c r="K48" s="23">
        <f aca="true" t="shared" si="8" ref="K48:R48">K49+K57</f>
        <v>0</v>
      </c>
      <c r="L48" s="23">
        <f t="shared" si="8"/>
        <v>0</v>
      </c>
      <c r="M48" s="23">
        <f t="shared" si="8"/>
        <v>97055</v>
      </c>
      <c r="N48" s="23">
        <f t="shared" si="8"/>
        <v>0</v>
      </c>
      <c r="O48" s="23">
        <f t="shared" si="8"/>
        <v>0</v>
      </c>
      <c r="P48" s="56">
        <f t="shared" si="8"/>
        <v>103976</v>
      </c>
      <c r="Q48" s="56">
        <f t="shared" si="8"/>
        <v>0</v>
      </c>
      <c r="R48" s="56">
        <f t="shared" si="8"/>
        <v>0</v>
      </c>
      <c r="S48" s="56">
        <f>S49+S51+S57</f>
        <v>1230936</v>
      </c>
      <c r="T48" s="56">
        <f>T49+T51+T57</f>
        <v>0</v>
      </c>
      <c r="U48" s="56">
        <f>U49+U51+U57</f>
        <v>0</v>
      </c>
      <c r="V48" s="95">
        <f t="shared" si="7"/>
        <v>1230936</v>
      </c>
    </row>
    <row r="49" spans="1:22" ht="18.75" customHeight="1">
      <c r="A49" s="52" t="s">
        <v>26</v>
      </c>
      <c r="B49" s="75" t="s">
        <v>78</v>
      </c>
      <c r="C49" s="35"/>
      <c r="D49" s="35">
        <v>75011</v>
      </c>
      <c r="E49" s="37"/>
      <c r="F49" s="38">
        <v>120453</v>
      </c>
      <c r="G49" s="53">
        <v>120857</v>
      </c>
      <c r="H49" s="40">
        <f>IF(F49&gt;0,G49/F49*100,"")</f>
        <v>100.33540052966717</v>
      </c>
      <c r="I49" s="41" t="e">
        <f>F49/F168</f>
        <v>#REF!</v>
      </c>
      <c r="J49" s="37"/>
      <c r="K49" s="37">
        <v>0</v>
      </c>
      <c r="L49" s="37">
        <v>0</v>
      </c>
      <c r="M49" s="37">
        <v>86463</v>
      </c>
      <c r="N49" s="37">
        <v>0</v>
      </c>
      <c r="O49" s="37">
        <v>0</v>
      </c>
      <c r="P49" s="37">
        <v>89799</v>
      </c>
      <c r="Q49" s="37">
        <v>0</v>
      </c>
      <c r="R49" s="37">
        <v>0</v>
      </c>
      <c r="S49" s="37">
        <f>S50</f>
        <v>102748</v>
      </c>
      <c r="T49" s="37">
        <f>T50</f>
        <v>0</v>
      </c>
      <c r="U49" s="37">
        <f>U50</f>
        <v>0</v>
      </c>
      <c r="V49" s="44">
        <f t="shared" si="7"/>
        <v>102748</v>
      </c>
    </row>
    <row r="50" spans="1:22" ht="24.75" customHeight="1">
      <c r="A50" s="52"/>
      <c r="B50" s="75" t="s">
        <v>69</v>
      </c>
      <c r="C50" s="35"/>
      <c r="D50" s="35"/>
      <c r="E50" s="35">
        <v>2110</v>
      </c>
      <c r="F50" s="38"/>
      <c r="G50" s="53"/>
      <c r="H50" s="40"/>
      <c r="I50" s="41"/>
      <c r="J50" s="37"/>
      <c r="K50" s="37"/>
      <c r="L50" s="37"/>
      <c r="M50" s="37"/>
      <c r="N50" s="37"/>
      <c r="O50" s="37"/>
      <c r="P50" s="37"/>
      <c r="Q50" s="37"/>
      <c r="R50" s="37"/>
      <c r="S50" s="37">
        <v>102748</v>
      </c>
      <c r="T50" s="43"/>
      <c r="U50" s="43"/>
      <c r="V50" s="44">
        <f t="shared" si="7"/>
        <v>102748</v>
      </c>
    </row>
    <row r="51" spans="1:22" s="51" customFormat="1" ht="15.75" customHeight="1">
      <c r="A51" s="33" t="s">
        <v>29</v>
      </c>
      <c r="B51" s="49" t="s">
        <v>79</v>
      </c>
      <c r="C51" s="89"/>
      <c r="D51" s="89">
        <v>75020</v>
      </c>
      <c r="E51" s="89"/>
      <c r="F51" s="46" t="e">
        <f>F52+F53+F54+#REF!+F55+F56</f>
        <v>#REF!</v>
      </c>
      <c r="G51" s="39" t="e">
        <f>G52+G53+G54+#REF!+G55+G56</f>
        <v>#REF!</v>
      </c>
      <c r="H51" s="47" t="e">
        <f aca="true" t="shared" si="9" ref="H51:H57">IF(F51&gt;0,G51/F51*100,"")</f>
        <v>#REF!</v>
      </c>
      <c r="I51" s="48" t="e">
        <f>F51/F168</f>
        <v>#REF!</v>
      </c>
      <c r="J51" s="49"/>
      <c r="K51" s="49" t="e">
        <f>K52+K53+K54+#REF!+K56</f>
        <v>#REF!</v>
      </c>
      <c r="L51" s="49" t="e">
        <f>L52+L53+L54+#REF!+L56</f>
        <v>#REF!</v>
      </c>
      <c r="M51" s="49" t="e">
        <f>M52+M53+M54+#REF!+M56+M55</f>
        <v>#REF!</v>
      </c>
      <c r="N51" s="49" t="e">
        <f>N52+N53+N54+#REF!+N56+N55</f>
        <v>#REF!</v>
      </c>
      <c r="O51" s="49" t="e">
        <f>O52+O53+O54+#REF!+O56+O55</f>
        <v>#REF!</v>
      </c>
      <c r="P51" s="50" t="e">
        <f>P52+P53+P54+#REF!+P56+P55</f>
        <v>#REF!</v>
      </c>
      <c r="Q51" s="50" t="e">
        <f>Q52+Q53+Q54+#REF!+Q56+Q55</f>
        <v>#REF!</v>
      </c>
      <c r="R51" s="50" t="e">
        <f>R52+R53+R54+#REF!+R56+R55</f>
        <v>#REF!</v>
      </c>
      <c r="S51" s="50">
        <f>S52+S53+S54+S55+S56</f>
        <v>1115188</v>
      </c>
      <c r="T51" s="50">
        <f>T52+T53+T54+T55+T56</f>
        <v>0</v>
      </c>
      <c r="U51" s="50">
        <f>U52+U53+U54+U55+U56</f>
        <v>0</v>
      </c>
      <c r="V51" s="44">
        <f t="shared" si="7"/>
        <v>1115188</v>
      </c>
    </row>
    <row r="52" spans="1:22" ht="16.5" customHeight="1">
      <c r="A52" s="52"/>
      <c r="B52" s="37" t="s">
        <v>80</v>
      </c>
      <c r="C52" s="36"/>
      <c r="D52" s="36"/>
      <c r="E52" s="36" t="s">
        <v>81</v>
      </c>
      <c r="F52" s="38">
        <v>500000</v>
      </c>
      <c r="G52" s="53">
        <v>650000</v>
      </c>
      <c r="H52" s="40">
        <f t="shared" si="9"/>
        <v>130</v>
      </c>
      <c r="I52" s="41" t="e">
        <f>F52/F168</f>
        <v>#REF!</v>
      </c>
      <c r="J52" s="37"/>
      <c r="K52" s="37">
        <v>0</v>
      </c>
      <c r="L52" s="37">
        <v>0</v>
      </c>
      <c r="M52" s="37">
        <v>529000</v>
      </c>
      <c r="N52" s="37">
        <v>0</v>
      </c>
      <c r="O52" s="37">
        <v>0</v>
      </c>
      <c r="P52" s="37">
        <v>523273</v>
      </c>
      <c r="Q52" s="37">
        <v>0</v>
      </c>
      <c r="R52" s="37">
        <v>0</v>
      </c>
      <c r="S52" s="37">
        <v>1096800</v>
      </c>
      <c r="T52" s="43"/>
      <c r="U52" s="43"/>
      <c r="V52" s="44">
        <f t="shared" si="7"/>
        <v>1096800</v>
      </c>
    </row>
    <row r="53" spans="1:22" ht="14.25" customHeight="1">
      <c r="A53" s="52"/>
      <c r="B53" s="37" t="s">
        <v>32</v>
      </c>
      <c r="C53" s="36"/>
      <c r="D53" s="36"/>
      <c r="E53" s="36" t="s">
        <v>33</v>
      </c>
      <c r="F53" s="38">
        <v>10000</v>
      </c>
      <c r="G53" s="53">
        <v>10000</v>
      </c>
      <c r="H53" s="40">
        <f t="shared" si="9"/>
        <v>100</v>
      </c>
      <c r="I53" s="41" t="e">
        <f>F53/F168</f>
        <v>#REF!</v>
      </c>
      <c r="J53" s="37"/>
      <c r="K53" s="37">
        <v>0</v>
      </c>
      <c r="L53" s="37">
        <v>0</v>
      </c>
      <c r="M53" s="37">
        <v>1800</v>
      </c>
      <c r="N53" s="37">
        <v>0</v>
      </c>
      <c r="O53" s="37">
        <v>0</v>
      </c>
      <c r="P53" s="37">
        <v>1800</v>
      </c>
      <c r="Q53" s="37">
        <v>0</v>
      </c>
      <c r="R53" s="37">
        <v>0</v>
      </c>
      <c r="S53" s="37">
        <v>1450</v>
      </c>
      <c r="T53" s="43"/>
      <c r="U53" s="43"/>
      <c r="V53" s="44">
        <f t="shared" si="7"/>
        <v>1450</v>
      </c>
    </row>
    <row r="54" spans="1:22" ht="25.5" customHeight="1">
      <c r="A54" s="52"/>
      <c r="B54" s="75" t="s">
        <v>48</v>
      </c>
      <c r="C54" s="36"/>
      <c r="D54" s="36"/>
      <c r="E54" s="36" t="s">
        <v>49</v>
      </c>
      <c r="F54" s="38">
        <v>2000</v>
      </c>
      <c r="G54" s="53">
        <v>5000</v>
      </c>
      <c r="H54" s="40">
        <f t="shared" si="9"/>
        <v>250</v>
      </c>
      <c r="I54" s="41" t="e">
        <f>F54/F168</f>
        <v>#REF!</v>
      </c>
      <c r="J54" s="37"/>
      <c r="K54" s="37">
        <v>0</v>
      </c>
      <c r="L54" s="37">
        <v>0</v>
      </c>
      <c r="M54" s="37">
        <v>1070</v>
      </c>
      <c r="N54" s="37">
        <v>0</v>
      </c>
      <c r="O54" s="37">
        <v>0</v>
      </c>
      <c r="P54" s="37">
        <v>676</v>
      </c>
      <c r="Q54" s="37">
        <v>0</v>
      </c>
      <c r="R54" s="37">
        <v>0</v>
      </c>
      <c r="S54" s="37">
        <v>1138</v>
      </c>
      <c r="T54" s="43"/>
      <c r="U54" s="43"/>
      <c r="V54" s="44">
        <f t="shared" si="7"/>
        <v>1138</v>
      </c>
    </row>
    <row r="55" spans="1:22" ht="12.75" customHeight="1">
      <c r="A55" s="52"/>
      <c r="B55" s="37" t="s">
        <v>82</v>
      </c>
      <c r="C55" s="36"/>
      <c r="D55" s="36"/>
      <c r="E55" s="36" t="s">
        <v>83</v>
      </c>
      <c r="F55" s="38">
        <v>10000</v>
      </c>
      <c r="G55" s="53">
        <v>0</v>
      </c>
      <c r="H55" s="40">
        <f t="shared" si="9"/>
        <v>0</v>
      </c>
      <c r="I55" s="41" t="e">
        <f>F55/F168</f>
        <v>#REF!</v>
      </c>
      <c r="J55" s="37"/>
      <c r="K55" s="37"/>
      <c r="L55" s="37"/>
      <c r="M55" s="37">
        <v>4000</v>
      </c>
      <c r="N55" s="37">
        <v>0</v>
      </c>
      <c r="O55" s="37">
        <v>0</v>
      </c>
      <c r="P55" s="37">
        <v>2785</v>
      </c>
      <c r="Q55" s="37">
        <v>0</v>
      </c>
      <c r="R55" s="37">
        <v>0</v>
      </c>
      <c r="S55" s="37">
        <v>200</v>
      </c>
      <c r="T55" s="43"/>
      <c r="U55" s="43"/>
      <c r="V55" s="44">
        <f t="shared" si="7"/>
        <v>200</v>
      </c>
    </row>
    <row r="56" spans="1:22" ht="14.25" customHeight="1">
      <c r="A56" s="52"/>
      <c r="B56" s="75" t="s">
        <v>54</v>
      </c>
      <c r="C56" s="36"/>
      <c r="D56" s="36"/>
      <c r="E56" s="36" t="s">
        <v>55</v>
      </c>
      <c r="F56" s="38">
        <v>61000</v>
      </c>
      <c r="G56" s="53">
        <v>70000</v>
      </c>
      <c r="H56" s="40">
        <f t="shared" si="9"/>
        <v>114.75409836065573</v>
      </c>
      <c r="I56" s="41" t="e">
        <f>F56/F168</f>
        <v>#REF!</v>
      </c>
      <c r="J56" s="37"/>
      <c r="K56" s="37">
        <v>0</v>
      </c>
      <c r="L56" s="37">
        <v>0</v>
      </c>
      <c r="M56" s="37">
        <v>25000</v>
      </c>
      <c r="N56" s="37">
        <v>0</v>
      </c>
      <c r="O56" s="37">
        <v>0</v>
      </c>
      <c r="P56" s="37">
        <v>7765</v>
      </c>
      <c r="Q56" s="37">
        <v>0</v>
      </c>
      <c r="R56" s="37">
        <v>0</v>
      </c>
      <c r="S56" s="37">
        <v>15600</v>
      </c>
      <c r="T56" s="43"/>
      <c r="U56" s="43"/>
      <c r="V56" s="44">
        <f t="shared" si="7"/>
        <v>15600</v>
      </c>
    </row>
    <row r="57" spans="1:22" ht="18" customHeight="1">
      <c r="A57" s="52" t="s">
        <v>74</v>
      </c>
      <c r="B57" s="75" t="s">
        <v>84</v>
      </c>
      <c r="C57" s="35"/>
      <c r="D57" s="35">
        <v>75045</v>
      </c>
      <c r="E57" s="37"/>
      <c r="F57" s="38">
        <v>22000</v>
      </c>
      <c r="G57" s="53">
        <v>24000</v>
      </c>
      <c r="H57" s="40">
        <f t="shared" si="9"/>
        <v>109.09090909090908</v>
      </c>
      <c r="I57" s="41" t="e">
        <f>F57/F168</f>
        <v>#REF!</v>
      </c>
      <c r="J57" s="37"/>
      <c r="K57" s="37">
        <v>0</v>
      </c>
      <c r="L57" s="37">
        <v>0</v>
      </c>
      <c r="M57" s="37">
        <v>10592</v>
      </c>
      <c r="N57" s="37">
        <v>0</v>
      </c>
      <c r="O57" s="37">
        <v>0</v>
      </c>
      <c r="P57" s="37">
        <v>14177</v>
      </c>
      <c r="Q57" s="37">
        <v>0</v>
      </c>
      <c r="R57" s="37">
        <v>0</v>
      </c>
      <c r="S57" s="37">
        <f>S58</f>
        <v>13000</v>
      </c>
      <c r="T57" s="37">
        <f>T58</f>
        <v>0</v>
      </c>
      <c r="U57" s="37">
        <f>U58</f>
        <v>0</v>
      </c>
      <c r="V57" s="44">
        <f t="shared" si="7"/>
        <v>13000</v>
      </c>
    </row>
    <row r="58" spans="1:22" ht="24" customHeight="1">
      <c r="A58" s="52"/>
      <c r="B58" s="75" t="s">
        <v>69</v>
      </c>
      <c r="C58" s="35"/>
      <c r="D58" s="35"/>
      <c r="E58" s="35">
        <v>2110</v>
      </c>
      <c r="F58" s="38"/>
      <c r="G58" s="53"/>
      <c r="H58" s="40"/>
      <c r="I58" s="41"/>
      <c r="J58" s="37"/>
      <c r="K58" s="37"/>
      <c r="L58" s="37"/>
      <c r="M58" s="37"/>
      <c r="N58" s="37"/>
      <c r="O58" s="37"/>
      <c r="P58" s="37"/>
      <c r="Q58" s="37"/>
      <c r="R58" s="37"/>
      <c r="S58" s="37">
        <v>13000</v>
      </c>
      <c r="T58" s="43"/>
      <c r="U58" s="43"/>
      <c r="V58" s="44">
        <f t="shared" si="7"/>
        <v>13000</v>
      </c>
    </row>
    <row r="59" spans="1:22" ht="24.75" customHeight="1">
      <c r="A59" s="22" t="s">
        <v>85</v>
      </c>
      <c r="B59" s="54" t="s">
        <v>86</v>
      </c>
      <c r="C59" s="25">
        <v>754</v>
      </c>
      <c r="D59" s="25"/>
      <c r="E59" s="25"/>
      <c r="F59" s="27" t="e">
        <f>#REF!+F60</f>
        <v>#REF!</v>
      </c>
      <c r="G59" s="73" t="e">
        <f>#REF!+G60</f>
        <v>#REF!</v>
      </c>
      <c r="H59" s="55" t="e">
        <f>IF(F59&gt;0,G59/F59*100,"")</f>
        <v>#REF!</v>
      </c>
      <c r="I59" s="74" t="e">
        <f>F59/F168</f>
        <v>#REF!</v>
      </c>
      <c r="J59" s="23"/>
      <c r="K59" s="23" t="e">
        <f>#REF!+K60</f>
        <v>#REF!</v>
      </c>
      <c r="L59" s="23" t="e">
        <f>#REF!+L60</f>
        <v>#REF!</v>
      </c>
      <c r="M59" s="23" t="e">
        <f>#REF!+M60</f>
        <v>#REF!</v>
      </c>
      <c r="N59" s="23" t="e">
        <f>#REF!+N60</f>
        <v>#REF!</v>
      </c>
      <c r="O59" s="23" t="e">
        <f>#REF!+O60</f>
        <v>#REF!</v>
      </c>
      <c r="P59" s="56" t="e">
        <f>#REF!+P60</f>
        <v>#REF!</v>
      </c>
      <c r="Q59" s="56" t="e">
        <f>#REF!+Q60</f>
        <v>#REF!</v>
      </c>
      <c r="R59" s="56" t="e">
        <f>#REF!+R60</f>
        <v>#REF!</v>
      </c>
      <c r="S59" s="56">
        <f>S60+S64</f>
        <v>2310000</v>
      </c>
      <c r="T59" s="56">
        <f>T60+T64</f>
        <v>20000</v>
      </c>
      <c r="U59" s="56">
        <f>U60+U64</f>
        <v>105000</v>
      </c>
      <c r="V59" s="95">
        <f t="shared" si="7"/>
        <v>2225000</v>
      </c>
    </row>
    <row r="60" spans="1:22" ht="24" customHeight="1">
      <c r="A60" s="52" t="s">
        <v>26</v>
      </c>
      <c r="B60" s="75" t="s">
        <v>87</v>
      </c>
      <c r="C60" s="35"/>
      <c r="D60" s="35">
        <v>75411</v>
      </c>
      <c r="E60" s="37"/>
      <c r="F60" s="38">
        <v>2662024</v>
      </c>
      <c r="G60" s="53">
        <v>2874880</v>
      </c>
      <c r="H60" s="40">
        <f>IF(F60&gt;0,G60/F60*100,"")</f>
        <v>107.99602107268755</v>
      </c>
      <c r="I60" s="41" t="e">
        <f>F60/F168</f>
        <v>#REF!</v>
      </c>
      <c r="J60" s="37"/>
      <c r="K60" s="37">
        <v>0</v>
      </c>
      <c r="L60" s="37">
        <v>0</v>
      </c>
      <c r="M60" s="49">
        <v>1730000</v>
      </c>
      <c r="N60" s="49">
        <v>0</v>
      </c>
      <c r="O60" s="49">
        <v>0</v>
      </c>
      <c r="P60" s="37">
        <v>1833000</v>
      </c>
      <c r="Q60" s="37">
        <v>0</v>
      </c>
      <c r="R60" s="37">
        <v>0</v>
      </c>
      <c r="S60" s="37">
        <f>S61+S62+S63</f>
        <v>2307000</v>
      </c>
      <c r="T60" s="37">
        <f>T61+T62+T63</f>
        <v>20000</v>
      </c>
      <c r="U60" s="37">
        <f>U61+U62+U63</f>
        <v>105000</v>
      </c>
      <c r="V60" s="44">
        <f t="shared" si="7"/>
        <v>2222000</v>
      </c>
    </row>
    <row r="61" spans="1:22" ht="24" customHeight="1">
      <c r="A61" s="52"/>
      <c r="B61" s="87" t="s">
        <v>69</v>
      </c>
      <c r="C61" s="35"/>
      <c r="D61" s="35"/>
      <c r="E61" s="35">
        <v>2110</v>
      </c>
      <c r="F61" s="38"/>
      <c r="G61" s="53"/>
      <c r="H61" s="40"/>
      <c r="I61" s="41"/>
      <c r="J61" s="37"/>
      <c r="K61" s="37"/>
      <c r="L61" s="37"/>
      <c r="M61" s="49"/>
      <c r="N61" s="49"/>
      <c r="O61" s="49"/>
      <c r="P61" s="37"/>
      <c r="Q61" s="37"/>
      <c r="R61" s="37"/>
      <c r="S61" s="37">
        <v>2306000</v>
      </c>
      <c r="T61" s="43"/>
      <c r="U61" s="43">
        <v>105000</v>
      </c>
      <c r="V61" s="44">
        <f t="shared" si="7"/>
        <v>2201000</v>
      </c>
    </row>
    <row r="62" spans="1:22" ht="30" customHeight="1">
      <c r="A62" s="86"/>
      <c r="B62" s="87" t="s">
        <v>69</v>
      </c>
      <c r="C62" s="35"/>
      <c r="D62" s="89"/>
      <c r="E62" s="89">
        <v>2310</v>
      </c>
      <c r="F62" s="77"/>
      <c r="G62" s="78"/>
      <c r="H62" s="79"/>
      <c r="I62" s="80"/>
      <c r="J62" s="81"/>
      <c r="K62" s="81"/>
      <c r="L62" s="81"/>
      <c r="M62" s="81"/>
      <c r="N62" s="81"/>
      <c r="O62" s="81"/>
      <c r="P62" s="37"/>
      <c r="Q62" s="37"/>
      <c r="R62" s="37"/>
      <c r="S62" s="37">
        <v>1000</v>
      </c>
      <c r="T62" s="43"/>
      <c r="U62" s="43"/>
      <c r="V62" s="44">
        <f t="shared" si="7"/>
        <v>1000</v>
      </c>
    </row>
    <row r="63" spans="1:22" ht="45" customHeight="1">
      <c r="A63" s="86"/>
      <c r="B63" s="87" t="s">
        <v>88</v>
      </c>
      <c r="C63" s="35"/>
      <c r="D63" s="89"/>
      <c r="E63" s="89">
        <v>6630</v>
      </c>
      <c r="F63" s="77"/>
      <c r="G63" s="78"/>
      <c r="H63" s="79"/>
      <c r="I63" s="80"/>
      <c r="J63" s="81"/>
      <c r="K63" s="81"/>
      <c r="L63" s="81"/>
      <c r="M63" s="81"/>
      <c r="N63" s="81"/>
      <c r="O63" s="81"/>
      <c r="P63" s="37"/>
      <c r="Q63" s="37"/>
      <c r="R63" s="37"/>
      <c r="S63" s="37">
        <v>0</v>
      </c>
      <c r="T63" s="43">
        <v>20000</v>
      </c>
      <c r="U63" s="43"/>
      <c r="V63" s="44">
        <f t="shared" si="7"/>
        <v>20000</v>
      </c>
    </row>
    <row r="64" spans="1:22" ht="15.75" customHeight="1">
      <c r="A64" s="52" t="s">
        <v>29</v>
      </c>
      <c r="B64" s="75" t="s">
        <v>89</v>
      </c>
      <c r="C64" s="35"/>
      <c r="D64" s="35">
        <v>75414</v>
      </c>
      <c r="E64" s="37"/>
      <c r="F64" s="38"/>
      <c r="G64" s="53"/>
      <c r="H64" s="40"/>
      <c r="I64" s="41"/>
      <c r="J64" s="37"/>
      <c r="K64" s="37"/>
      <c r="L64" s="37"/>
      <c r="M64" s="49"/>
      <c r="N64" s="49"/>
      <c r="O64" s="49"/>
      <c r="P64" s="37"/>
      <c r="Q64" s="37"/>
      <c r="R64" s="37"/>
      <c r="S64" s="37">
        <f>S72</f>
        <v>3000</v>
      </c>
      <c r="T64" s="37">
        <f>T72</f>
        <v>0</v>
      </c>
      <c r="U64" s="37">
        <f>U72</f>
        <v>0</v>
      </c>
      <c r="V64" s="44">
        <f t="shared" si="7"/>
        <v>3000</v>
      </c>
    </row>
    <row r="65" spans="1:22" ht="21.75" customHeight="1" hidden="1">
      <c r="A65" s="86" t="s">
        <v>29</v>
      </c>
      <c r="B65" s="93" t="s">
        <v>30</v>
      </c>
      <c r="C65" s="76"/>
      <c r="D65" s="76" t="s">
        <v>90</v>
      </c>
      <c r="E65" s="76"/>
      <c r="F65" s="77"/>
      <c r="G65" s="78"/>
      <c r="H65" s="79"/>
      <c r="I65" s="80"/>
      <c r="J65" s="81"/>
      <c r="K65" s="81"/>
      <c r="L65" s="81"/>
      <c r="M65" s="81">
        <f aca="true" t="shared" si="10" ref="M65:R65">M66</f>
        <v>3050</v>
      </c>
      <c r="N65" s="81">
        <f t="shared" si="10"/>
        <v>0</v>
      </c>
      <c r="O65" s="81">
        <f t="shared" si="10"/>
        <v>0</v>
      </c>
      <c r="P65" s="81">
        <f t="shared" si="10"/>
        <v>0</v>
      </c>
      <c r="Q65" s="81">
        <f t="shared" si="10"/>
        <v>0</v>
      </c>
      <c r="R65" s="81">
        <f t="shared" si="10"/>
        <v>0</v>
      </c>
      <c r="S65" s="37"/>
      <c r="T65" s="43"/>
      <c r="U65" s="43"/>
      <c r="V65" s="44">
        <f t="shared" si="7"/>
        <v>0</v>
      </c>
    </row>
    <row r="66" spans="1:22" ht="0.75" customHeight="1" hidden="1">
      <c r="A66" s="52"/>
      <c r="B66" s="75" t="s">
        <v>91</v>
      </c>
      <c r="C66" s="36"/>
      <c r="D66" s="36"/>
      <c r="E66" s="36" t="s">
        <v>92</v>
      </c>
      <c r="F66" s="38"/>
      <c r="G66" s="53"/>
      <c r="H66" s="40"/>
      <c r="I66" s="41"/>
      <c r="J66" s="37"/>
      <c r="K66" s="37"/>
      <c r="L66" s="37"/>
      <c r="M66" s="37">
        <v>3050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/>
      <c r="T66" s="43"/>
      <c r="U66" s="43"/>
      <c r="V66" s="44">
        <f t="shared" si="7"/>
        <v>0</v>
      </c>
    </row>
    <row r="67" spans="1:22" ht="25.5" customHeight="1" hidden="1">
      <c r="A67" s="86" t="s">
        <v>70</v>
      </c>
      <c r="B67" s="93" t="s">
        <v>86</v>
      </c>
      <c r="C67" s="88">
        <v>754</v>
      </c>
      <c r="D67" s="35"/>
      <c r="E67" s="35"/>
      <c r="F67" s="38">
        <f>F68+F70</f>
        <v>18600</v>
      </c>
      <c r="G67" s="78">
        <f>G68+G70</f>
        <v>19700</v>
      </c>
      <c r="H67" s="79">
        <f>IF(F67&gt;0,G67/F67*100,"")</f>
        <v>105.91397849462365</v>
      </c>
      <c r="I67" s="80" t="e">
        <f>F67/F168</f>
        <v>#REF!</v>
      </c>
      <c r="J67" s="81"/>
      <c r="K67" s="81">
        <f aca="true" t="shared" si="11" ref="K67:S67">K68+K70</f>
        <v>0</v>
      </c>
      <c r="L67" s="81">
        <f t="shared" si="11"/>
        <v>0</v>
      </c>
      <c r="M67" s="81">
        <f t="shared" si="11"/>
        <v>6000</v>
      </c>
      <c r="N67" s="81">
        <f t="shared" si="11"/>
        <v>0</v>
      </c>
      <c r="O67" s="81">
        <f t="shared" si="11"/>
        <v>0</v>
      </c>
      <c r="P67" s="82">
        <f t="shared" si="11"/>
        <v>1000</v>
      </c>
      <c r="Q67" s="82">
        <f t="shared" si="11"/>
        <v>0</v>
      </c>
      <c r="R67" s="82">
        <f t="shared" si="11"/>
        <v>0</v>
      </c>
      <c r="S67" s="82">
        <f t="shared" si="11"/>
        <v>0</v>
      </c>
      <c r="T67" s="96"/>
      <c r="U67" s="96"/>
      <c r="V67" s="44">
        <f t="shared" si="7"/>
        <v>0</v>
      </c>
    </row>
    <row r="68" spans="1:22" ht="21.75" customHeight="1" hidden="1">
      <c r="A68" s="86" t="s">
        <v>26</v>
      </c>
      <c r="B68" s="81" t="s">
        <v>93</v>
      </c>
      <c r="C68" s="88"/>
      <c r="D68" s="88">
        <v>75405</v>
      </c>
      <c r="E68" s="88"/>
      <c r="F68" s="77">
        <f>F69</f>
        <v>9000</v>
      </c>
      <c r="G68" s="78">
        <f>G69</f>
        <v>9700</v>
      </c>
      <c r="H68" s="79">
        <f>IF(F68&gt;0,G68/F68*100,"")</f>
        <v>107.77777777777777</v>
      </c>
      <c r="I68" s="80" t="e">
        <f>F68/F168</f>
        <v>#REF!</v>
      </c>
      <c r="J68" s="81"/>
      <c r="K68" s="81">
        <f aca="true" t="shared" si="12" ref="K68:R68">K69</f>
        <v>0</v>
      </c>
      <c r="L68" s="81">
        <f t="shared" si="12"/>
        <v>0</v>
      </c>
      <c r="M68" s="81">
        <f t="shared" si="12"/>
        <v>5000</v>
      </c>
      <c r="N68" s="81">
        <f t="shared" si="12"/>
        <v>0</v>
      </c>
      <c r="O68" s="81">
        <f t="shared" si="12"/>
        <v>0</v>
      </c>
      <c r="P68" s="82">
        <f t="shared" si="12"/>
        <v>0</v>
      </c>
      <c r="Q68" s="82">
        <f t="shared" si="12"/>
        <v>0</v>
      </c>
      <c r="R68" s="82">
        <f t="shared" si="12"/>
        <v>0</v>
      </c>
      <c r="S68" s="37"/>
      <c r="T68" s="43"/>
      <c r="U68" s="43"/>
      <c r="V68" s="44">
        <f t="shared" si="7"/>
        <v>0</v>
      </c>
    </row>
    <row r="69" spans="1:22" ht="0.75" customHeight="1" hidden="1">
      <c r="A69" s="52"/>
      <c r="B69" s="75" t="s">
        <v>52</v>
      </c>
      <c r="C69" s="36"/>
      <c r="D69" s="36"/>
      <c r="E69" s="36" t="s">
        <v>94</v>
      </c>
      <c r="F69" s="38">
        <v>9000</v>
      </c>
      <c r="G69" s="53">
        <v>9700</v>
      </c>
      <c r="H69" s="40">
        <f>IF(F69&gt;0,G69/F69*100,"")</f>
        <v>107.77777777777777</v>
      </c>
      <c r="I69" s="41" t="e">
        <f>F69/F168</f>
        <v>#REF!</v>
      </c>
      <c r="J69" s="37"/>
      <c r="K69" s="37">
        <v>0</v>
      </c>
      <c r="L69" s="37">
        <v>0</v>
      </c>
      <c r="M69" s="37">
        <v>5000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/>
      <c r="T69" s="43"/>
      <c r="U69" s="43"/>
      <c r="V69" s="44">
        <f t="shared" si="7"/>
        <v>0</v>
      </c>
    </row>
    <row r="70" spans="1:22" ht="24.75" customHeight="1" hidden="1">
      <c r="A70" s="86" t="s">
        <v>26</v>
      </c>
      <c r="B70" s="93" t="s">
        <v>87</v>
      </c>
      <c r="C70" s="76"/>
      <c r="D70" s="76" t="s">
        <v>95</v>
      </c>
      <c r="E70" s="76"/>
      <c r="F70" s="77">
        <f>F71</f>
        <v>9600</v>
      </c>
      <c r="G70" s="78">
        <f>G71</f>
        <v>10000</v>
      </c>
      <c r="H70" s="79">
        <f>IF(F70&gt;0,G70/F70*100,"")</f>
        <v>104.16666666666667</v>
      </c>
      <c r="I70" s="80" t="e">
        <f>F70/F168</f>
        <v>#REF!</v>
      </c>
      <c r="J70" s="81"/>
      <c r="K70" s="81">
        <f aca="true" t="shared" si="13" ref="K70:S70">K71</f>
        <v>0</v>
      </c>
      <c r="L70" s="81">
        <f t="shared" si="13"/>
        <v>0</v>
      </c>
      <c r="M70" s="81">
        <f t="shared" si="13"/>
        <v>1000</v>
      </c>
      <c r="N70" s="81">
        <f t="shared" si="13"/>
        <v>0</v>
      </c>
      <c r="O70" s="81">
        <f t="shared" si="13"/>
        <v>0</v>
      </c>
      <c r="P70" s="82">
        <f t="shared" si="13"/>
        <v>1000</v>
      </c>
      <c r="Q70" s="82">
        <f t="shared" si="13"/>
        <v>0</v>
      </c>
      <c r="R70" s="82">
        <f t="shared" si="13"/>
        <v>0</v>
      </c>
      <c r="S70" s="82">
        <f t="shared" si="13"/>
        <v>0</v>
      </c>
      <c r="T70" s="96"/>
      <c r="U70" s="96"/>
      <c r="V70" s="44">
        <f t="shared" si="7"/>
        <v>0</v>
      </c>
    </row>
    <row r="71" spans="1:22" ht="13.5" customHeight="1" hidden="1">
      <c r="A71" s="52"/>
      <c r="B71" s="75" t="s">
        <v>52</v>
      </c>
      <c r="C71" s="36"/>
      <c r="D71" s="36"/>
      <c r="E71" s="36" t="s">
        <v>53</v>
      </c>
      <c r="F71" s="38">
        <v>9600</v>
      </c>
      <c r="G71" s="53">
        <v>10000</v>
      </c>
      <c r="H71" s="40">
        <f>IF(F71&gt;0,G71/F71*100,"")</f>
        <v>104.16666666666667</v>
      </c>
      <c r="I71" s="41" t="e">
        <f>F71/F168</f>
        <v>#REF!</v>
      </c>
      <c r="J71" s="37"/>
      <c r="K71" s="37">
        <v>0</v>
      </c>
      <c r="L71" s="37">
        <v>0</v>
      </c>
      <c r="M71" s="37">
        <v>1000</v>
      </c>
      <c r="N71" s="37">
        <v>0</v>
      </c>
      <c r="O71" s="37">
        <v>0</v>
      </c>
      <c r="P71" s="37">
        <v>1000</v>
      </c>
      <c r="Q71" s="37">
        <v>0</v>
      </c>
      <c r="R71" s="37">
        <v>0</v>
      </c>
      <c r="S71" s="37">
        <v>0</v>
      </c>
      <c r="T71" s="43"/>
      <c r="U71" s="43"/>
      <c r="V71" s="44">
        <f t="shared" si="7"/>
        <v>0</v>
      </c>
    </row>
    <row r="72" spans="1:22" ht="27.75" customHeight="1">
      <c r="A72" s="52"/>
      <c r="B72" s="75" t="s">
        <v>69</v>
      </c>
      <c r="C72" s="36"/>
      <c r="D72" s="36"/>
      <c r="E72" s="35">
        <v>2110</v>
      </c>
      <c r="F72" s="38"/>
      <c r="G72" s="53"/>
      <c r="H72" s="40"/>
      <c r="I72" s="41"/>
      <c r="J72" s="37"/>
      <c r="K72" s="37"/>
      <c r="L72" s="37"/>
      <c r="M72" s="37"/>
      <c r="N72" s="37"/>
      <c r="O72" s="37"/>
      <c r="P72" s="37"/>
      <c r="Q72" s="37"/>
      <c r="R72" s="37"/>
      <c r="S72" s="37">
        <v>3000</v>
      </c>
      <c r="T72" s="43"/>
      <c r="U72" s="43"/>
      <c r="V72" s="44">
        <f t="shared" si="7"/>
        <v>3000</v>
      </c>
    </row>
    <row r="73" spans="1:22" ht="35.25" customHeight="1">
      <c r="A73" s="22" t="s">
        <v>96</v>
      </c>
      <c r="B73" s="97" t="s">
        <v>97</v>
      </c>
      <c r="C73" s="24" t="s">
        <v>98</v>
      </c>
      <c r="D73" s="92"/>
      <c r="E73" s="92"/>
      <c r="F73" s="27">
        <f>F74</f>
        <v>285742</v>
      </c>
      <c r="G73" s="73">
        <f>G74</f>
        <v>239445</v>
      </c>
      <c r="H73" s="55">
        <f>IF(F73&gt;0,G73/F73*100,"")</f>
        <v>83.79762163070183</v>
      </c>
      <c r="I73" s="74" t="e">
        <f>F73/F168</f>
        <v>#REF!</v>
      </c>
      <c r="J73" s="23"/>
      <c r="K73" s="23">
        <f aca="true" t="shared" si="14" ref="K73:U73">K74</f>
        <v>0</v>
      </c>
      <c r="L73" s="23">
        <f t="shared" si="14"/>
        <v>0</v>
      </c>
      <c r="M73" s="23">
        <f t="shared" si="14"/>
        <v>134163</v>
      </c>
      <c r="N73" s="23">
        <f t="shared" si="14"/>
        <v>0</v>
      </c>
      <c r="O73" s="23">
        <f t="shared" si="14"/>
        <v>0</v>
      </c>
      <c r="P73" s="56">
        <f t="shared" si="14"/>
        <v>141331</v>
      </c>
      <c r="Q73" s="56">
        <f t="shared" si="14"/>
        <v>0</v>
      </c>
      <c r="R73" s="56">
        <f t="shared" si="14"/>
        <v>0</v>
      </c>
      <c r="S73" s="56">
        <f t="shared" si="14"/>
        <v>2035013</v>
      </c>
      <c r="T73" s="56">
        <f t="shared" si="14"/>
        <v>21174</v>
      </c>
      <c r="U73" s="56">
        <f t="shared" si="14"/>
        <v>0</v>
      </c>
      <c r="V73" s="95">
        <f t="shared" si="7"/>
        <v>2056187</v>
      </c>
    </row>
    <row r="74" spans="1:22" s="51" customFormat="1" ht="26.25" customHeight="1">
      <c r="A74" s="33" t="s">
        <v>26</v>
      </c>
      <c r="B74" s="98" t="s">
        <v>99</v>
      </c>
      <c r="C74" s="45"/>
      <c r="D74" s="45" t="s">
        <v>100</v>
      </c>
      <c r="E74" s="45"/>
      <c r="F74" s="46">
        <f>F75</f>
        <v>285742</v>
      </c>
      <c r="G74" s="39">
        <f>G75</f>
        <v>239445</v>
      </c>
      <c r="H74" s="47">
        <f>IF(F74&gt;0,G74/F74*100,"")</f>
        <v>83.79762163070183</v>
      </c>
      <c r="I74" s="48" t="e">
        <f>F74/F168</f>
        <v>#REF!</v>
      </c>
      <c r="J74" s="49"/>
      <c r="K74" s="49">
        <f aca="true" t="shared" si="15" ref="K74:R74">K75</f>
        <v>0</v>
      </c>
      <c r="L74" s="49">
        <f t="shared" si="15"/>
        <v>0</v>
      </c>
      <c r="M74" s="49">
        <f t="shared" si="15"/>
        <v>134163</v>
      </c>
      <c r="N74" s="49">
        <f t="shared" si="15"/>
        <v>0</v>
      </c>
      <c r="O74" s="49">
        <f t="shared" si="15"/>
        <v>0</v>
      </c>
      <c r="P74" s="50">
        <f t="shared" si="15"/>
        <v>141331</v>
      </c>
      <c r="Q74" s="50">
        <f t="shared" si="15"/>
        <v>0</v>
      </c>
      <c r="R74" s="50">
        <f t="shared" si="15"/>
        <v>0</v>
      </c>
      <c r="S74" s="50">
        <f>S75+S76</f>
        <v>2035013</v>
      </c>
      <c r="T74" s="50">
        <f>T75+T76</f>
        <v>21174</v>
      </c>
      <c r="U74" s="50">
        <f>U75+U76</f>
        <v>0</v>
      </c>
      <c r="V74" s="44">
        <f t="shared" si="7"/>
        <v>2056187</v>
      </c>
    </row>
    <row r="75" spans="1:22" ht="16.5" customHeight="1">
      <c r="A75" s="52"/>
      <c r="B75" s="75" t="s">
        <v>101</v>
      </c>
      <c r="C75" s="36"/>
      <c r="D75" s="36"/>
      <c r="E75" s="36" t="s">
        <v>102</v>
      </c>
      <c r="F75" s="38">
        <v>285742</v>
      </c>
      <c r="G75" s="53">
        <v>239445</v>
      </c>
      <c r="H75" s="40">
        <f>IF(F75&gt;0,G75/F75*100,"")</f>
        <v>83.79762163070183</v>
      </c>
      <c r="I75" s="41" t="e">
        <f>F75/F168</f>
        <v>#REF!</v>
      </c>
      <c r="J75" s="37"/>
      <c r="K75" s="37">
        <v>0</v>
      </c>
      <c r="L75" s="37">
        <v>0</v>
      </c>
      <c r="M75" s="37">
        <v>134163</v>
      </c>
      <c r="N75" s="37">
        <v>0</v>
      </c>
      <c r="O75" s="37">
        <v>0</v>
      </c>
      <c r="P75" s="37">
        <v>141331</v>
      </c>
      <c r="Q75" s="37">
        <v>0</v>
      </c>
      <c r="R75" s="37">
        <v>0</v>
      </c>
      <c r="S75" s="37">
        <v>1950013</v>
      </c>
      <c r="T75" s="43">
        <v>21174</v>
      </c>
      <c r="U75" s="43"/>
      <c r="V75" s="44">
        <f aca="true" t="shared" si="16" ref="V75:V106">S75+T75-U75</f>
        <v>1971187</v>
      </c>
    </row>
    <row r="76" spans="1:22" ht="16.5" customHeight="1">
      <c r="A76" s="52"/>
      <c r="B76" s="75" t="s">
        <v>103</v>
      </c>
      <c r="C76" s="36"/>
      <c r="D76" s="36"/>
      <c r="E76" s="36" t="s">
        <v>104</v>
      </c>
      <c r="F76" s="38"/>
      <c r="G76" s="53"/>
      <c r="H76" s="40"/>
      <c r="I76" s="41"/>
      <c r="J76" s="37"/>
      <c r="K76" s="37"/>
      <c r="L76" s="37"/>
      <c r="M76" s="37"/>
      <c r="N76" s="37"/>
      <c r="O76" s="37"/>
      <c r="P76" s="37"/>
      <c r="Q76" s="37"/>
      <c r="R76" s="37"/>
      <c r="S76" s="37">
        <v>85000</v>
      </c>
      <c r="T76" s="43"/>
      <c r="U76" s="43"/>
      <c r="V76" s="44">
        <f t="shared" si="16"/>
        <v>85000</v>
      </c>
    </row>
    <row r="77" spans="1:22" ht="18" customHeight="1">
      <c r="A77" s="22" t="s">
        <v>105</v>
      </c>
      <c r="B77" s="99" t="s">
        <v>106</v>
      </c>
      <c r="C77" s="94">
        <v>758</v>
      </c>
      <c r="D77" s="25"/>
      <c r="E77" s="25"/>
      <c r="F77" s="27">
        <f>F83+F87</f>
        <v>90000</v>
      </c>
      <c r="G77" s="73">
        <f>G87+G83</f>
        <v>100000</v>
      </c>
      <c r="H77" s="55">
        <f>IF(F77&gt;0,G77/F77*100,"")</f>
        <v>111.11111111111111</v>
      </c>
      <c r="I77" s="74" t="e">
        <f>F77/F168</f>
        <v>#REF!</v>
      </c>
      <c r="J77" s="23"/>
      <c r="K77" s="23">
        <f aca="true" t="shared" si="17" ref="K77:R77">K83</f>
        <v>0</v>
      </c>
      <c r="L77" s="23">
        <f t="shared" si="17"/>
        <v>0</v>
      </c>
      <c r="M77" s="23">
        <f t="shared" si="17"/>
        <v>60000</v>
      </c>
      <c r="N77" s="23">
        <f t="shared" si="17"/>
        <v>0</v>
      </c>
      <c r="O77" s="23">
        <f t="shared" si="17"/>
        <v>0</v>
      </c>
      <c r="P77" s="56">
        <f t="shared" si="17"/>
        <v>20000</v>
      </c>
      <c r="Q77" s="56">
        <f t="shared" si="17"/>
        <v>0</v>
      </c>
      <c r="R77" s="56">
        <f t="shared" si="17"/>
        <v>0</v>
      </c>
      <c r="S77" s="56">
        <f>S78+S80+S83+S85</f>
        <v>16334381</v>
      </c>
      <c r="T77" s="56">
        <f>T78+T80+T83+T85</f>
        <v>37736</v>
      </c>
      <c r="U77" s="56">
        <f>U78+U80+U83+U85</f>
        <v>25</v>
      </c>
      <c r="V77" s="95">
        <f t="shared" si="16"/>
        <v>16372092</v>
      </c>
    </row>
    <row r="78" spans="1:22" s="108" customFormat="1" ht="28.5" customHeight="1">
      <c r="A78" s="100" t="s">
        <v>26</v>
      </c>
      <c r="B78" s="101" t="s">
        <v>107</v>
      </c>
      <c r="C78" s="102"/>
      <c r="D78" s="102">
        <v>75801</v>
      </c>
      <c r="E78" s="102"/>
      <c r="F78" s="103"/>
      <c r="G78" s="104"/>
      <c r="H78" s="105"/>
      <c r="I78" s="106"/>
      <c r="J78" s="90"/>
      <c r="K78" s="90"/>
      <c r="L78" s="90"/>
      <c r="M78" s="90"/>
      <c r="N78" s="90"/>
      <c r="O78" s="90"/>
      <c r="P78" s="107"/>
      <c r="Q78" s="107"/>
      <c r="R78" s="107"/>
      <c r="S78" s="107">
        <f>S79</f>
        <v>13197586</v>
      </c>
      <c r="T78" s="107">
        <f>T79</f>
        <v>37736</v>
      </c>
      <c r="U78" s="107">
        <f>U79</f>
        <v>0</v>
      </c>
      <c r="V78" s="44">
        <f t="shared" si="16"/>
        <v>13235322</v>
      </c>
    </row>
    <row r="79" spans="1:22" ht="24.75" customHeight="1">
      <c r="A79" s="52"/>
      <c r="B79" s="75" t="s">
        <v>108</v>
      </c>
      <c r="C79" s="35"/>
      <c r="D79" s="35"/>
      <c r="E79" s="36" t="s">
        <v>109</v>
      </c>
      <c r="F79" s="38"/>
      <c r="G79" s="53"/>
      <c r="H79" s="40"/>
      <c r="I79" s="41"/>
      <c r="J79" s="37"/>
      <c r="K79" s="37"/>
      <c r="L79" s="37"/>
      <c r="M79" s="109"/>
      <c r="N79" s="109"/>
      <c r="O79" s="109"/>
      <c r="P79" s="37"/>
      <c r="Q79" s="37"/>
      <c r="R79" s="37"/>
      <c r="S79" s="37">
        <v>13197586</v>
      </c>
      <c r="T79" s="43">
        <v>37736</v>
      </c>
      <c r="U79" s="43"/>
      <c r="V79" s="44">
        <f t="shared" si="16"/>
        <v>13235322</v>
      </c>
    </row>
    <row r="80" spans="1:22" s="108" customFormat="1" ht="26.25" customHeight="1">
      <c r="A80" s="100" t="s">
        <v>29</v>
      </c>
      <c r="B80" s="101" t="s">
        <v>110</v>
      </c>
      <c r="C80" s="102"/>
      <c r="D80" s="102">
        <v>75803</v>
      </c>
      <c r="E80" s="110"/>
      <c r="F80" s="103">
        <v>857613</v>
      </c>
      <c r="G80" s="104">
        <v>912417</v>
      </c>
      <c r="H80" s="105">
        <f>IF(F80&gt;0,G80/F80*100,"")</f>
        <v>106.39029492323459</v>
      </c>
      <c r="I80" s="106" t="e">
        <f>F80/F168</f>
        <v>#REF!</v>
      </c>
      <c r="J80" s="90"/>
      <c r="K80" s="90">
        <v>0</v>
      </c>
      <c r="L80" s="90">
        <v>0</v>
      </c>
      <c r="M80" s="107">
        <v>531382</v>
      </c>
      <c r="N80" s="107">
        <v>0</v>
      </c>
      <c r="O80" s="107">
        <v>0</v>
      </c>
      <c r="P80" s="90">
        <v>543491</v>
      </c>
      <c r="Q80" s="90">
        <v>0</v>
      </c>
      <c r="R80" s="90">
        <v>0</v>
      </c>
      <c r="S80" s="90">
        <f>S81+S82</f>
        <v>1619480</v>
      </c>
      <c r="T80" s="90">
        <f>T81+T82</f>
        <v>0</v>
      </c>
      <c r="U80" s="90">
        <f>U81+U82</f>
        <v>0</v>
      </c>
      <c r="V80" s="44">
        <f t="shared" si="16"/>
        <v>1619480</v>
      </c>
    </row>
    <row r="81" spans="1:22" ht="23.25" customHeight="1">
      <c r="A81" s="111"/>
      <c r="B81" s="75" t="s">
        <v>111</v>
      </c>
      <c r="C81" s="35"/>
      <c r="D81" s="35"/>
      <c r="E81" s="36" t="s">
        <v>109</v>
      </c>
      <c r="F81" s="38"/>
      <c r="G81" s="53"/>
      <c r="H81" s="40"/>
      <c r="I81" s="41"/>
      <c r="J81" s="37"/>
      <c r="K81" s="37"/>
      <c r="L81" s="37"/>
      <c r="M81" s="109"/>
      <c r="N81" s="109"/>
      <c r="O81" s="109"/>
      <c r="P81" s="37"/>
      <c r="Q81" s="37"/>
      <c r="R81" s="37"/>
      <c r="S81" s="37">
        <v>1314250</v>
      </c>
      <c r="T81" s="43"/>
      <c r="U81" s="43"/>
      <c r="V81" s="44">
        <f t="shared" si="16"/>
        <v>1314250</v>
      </c>
    </row>
    <row r="82" spans="1:23" ht="26.25" customHeight="1">
      <c r="A82" s="111"/>
      <c r="B82" s="75" t="s">
        <v>112</v>
      </c>
      <c r="C82" s="35"/>
      <c r="D82" s="35"/>
      <c r="E82" s="36" t="s">
        <v>109</v>
      </c>
      <c r="F82" s="38"/>
      <c r="G82" s="53"/>
      <c r="H82" s="40"/>
      <c r="I82" s="41"/>
      <c r="J82" s="37"/>
      <c r="K82" s="37"/>
      <c r="L82" s="37"/>
      <c r="M82" s="109"/>
      <c r="N82" s="109"/>
      <c r="O82" s="109"/>
      <c r="P82" s="37"/>
      <c r="Q82" s="37"/>
      <c r="R82" s="37"/>
      <c r="S82" s="37">
        <v>305230</v>
      </c>
      <c r="T82" s="43"/>
      <c r="U82" s="43"/>
      <c r="V82" s="44">
        <f t="shared" si="16"/>
        <v>305230</v>
      </c>
      <c r="W82" s="112"/>
    </row>
    <row r="83" spans="1:22" s="51" customFormat="1" ht="17.25" customHeight="1">
      <c r="A83" s="33" t="s">
        <v>74</v>
      </c>
      <c r="B83" s="42" t="s">
        <v>113</v>
      </c>
      <c r="C83" s="89"/>
      <c r="D83" s="89">
        <v>75814</v>
      </c>
      <c r="E83" s="45"/>
      <c r="F83" s="46">
        <f>F84</f>
        <v>90000</v>
      </c>
      <c r="G83" s="39">
        <f>G84</f>
        <v>100000</v>
      </c>
      <c r="H83" s="47">
        <f>IF(F83&gt;0,G83/F83*100,"")</f>
        <v>111.11111111111111</v>
      </c>
      <c r="I83" s="48" t="e">
        <f>F83/F168</f>
        <v>#REF!</v>
      </c>
      <c r="J83" s="49"/>
      <c r="K83" s="49">
        <f aca="true" t="shared" si="18" ref="K83:U83">K84</f>
        <v>0</v>
      </c>
      <c r="L83" s="49">
        <f t="shared" si="18"/>
        <v>0</v>
      </c>
      <c r="M83" s="49">
        <f t="shared" si="18"/>
        <v>60000</v>
      </c>
      <c r="N83" s="49">
        <f t="shared" si="18"/>
        <v>0</v>
      </c>
      <c r="O83" s="49">
        <f t="shared" si="18"/>
        <v>0</v>
      </c>
      <c r="P83" s="50">
        <f t="shared" si="18"/>
        <v>20000</v>
      </c>
      <c r="Q83" s="50">
        <f t="shared" si="18"/>
        <v>0</v>
      </c>
      <c r="R83" s="50">
        <f t="shared" si="18"/>
        <v>0</v>
      </c>
      <c r="S83" s="50">
        <f t="shared" si="18"/>
        <v>65000</v>
      </c>
      <c r="T83" s="50">
        <f t="shared" si="18"/>
        <v>0</v>
      </c>
      <c r="U83" s="50">
        <f t="shared" si="18"/>
        <v>0</v>
      </c>
      <c r="V83" s="44">
        <f t="shared" si="16"/>
        <v>65000</v>
      </c>
    </row>
    <row r="84" spans="1:22" ht="20.25" customHeight="1">
      <c r="A84" s="52"/>
      <c r="B84" s="75" t="s">
        <v>52</v>
      </c>
      <c r="C84" s="35"/>
      <c r="D84" s="35"/>
      <c r="E84" s="36" t="s">
        <v>53</v>
      </c>
      <c r="F84" s="38">
        <v>90000</v>
      </c>
      <c r="G84" s="53">
        <v>100000</v>
      </c>
      <c r="H84" s="40">
        <f>IF(F84&gt;0,G84/F84*100,"")</f>
        <v>111.11111111111111</v>
      </c>
      <c r="I84" s="41" t="e">
        <f>F84/F168</f>
        <v>#REF!</v>
      </c>
      <c r="J84" s="37"/>
      <c r="K84" s="37">
        <v>0</v>
      </c>
      <c r="L84" s="37">
        <v>0</v>
      </c>
      <c r="M84" s="37">
        <v>60000</v>
      </c>
      <c r="N84" s="37">
        <v>0</v>
      </c>
      <c r="O84" s="37">
        <v>0</v>
      </c>
      <c r="P84" s="37">
        <v>20000</v>
      </c>
      <c r="Q84" s="37">
        <v>0</v>
      </c>
      <c r="R84" s="37">
        <v>0</v>
      </c>
      <c r="S84" s="37">
        <v>65000</v>
      </c>
      <c r="T84" s="43"/>
      <c r="U84" s="43"/>
      <c r="V84" s="44">
        <f t="shared" si="16"/>
        <v>65000</v>
      </c>
    </row>
    <row r="85" spans="1:23" s="90" customFormat="1" ht="21.75" customHeight="1">
      <c r="A85" s="100" t="s">
        <v>114</v>
      </c>
      <c r="B85" s="101" t="s">
        <v>115</v>
      </c>
      <c r="C85" s="102"/>
      <c r="D85" s="102">
        <v>75832</v>
      </c>
      <c r="E85" s="110"/>
      <c r="F85" s="103"/>
      <c r="G85" s="104"/>
      <c r="H85" s="105"/>
      <c r="I85" s="106"/>
      <c r="M85" s="107"/>
      <c r="N85" s="107"/>
      <c r="O85" s="107"/>
      <c r="S85" s="90">
        <f>S86</f>
        <v>1452315</v>
      </c>
      <c r="T85" s="90">
        <f>T86</f>
        <v>0</v>
      </c>
      <c r="U85" s="90">
        <f>U86</f>
        <v>25</v>
      </c>
      <c r="V85" s="44">
        <f t="shared" si="16"/>
        <v>1452290</v>
      </c>
      <c r="W85" s="113"/>
    </row>
    <row r="86" spans="1:22" s="115" customFormat="1" ht="27" customHeight="1">
      <c r="A86" s="86"/>
      <c r="B86" s="42" t="s">
        <v>116</v>
      </c>
      <c r="C86" s="88"/>
      <c r="D86" s="88"/>
      <c r="E86" s="45" t="s">
        <v>109</v>
      </c>
      <c r="F86" s="77"/>
      <c r="G86" s="78"/>
      <c r="H86" s="79"/>
      <c r="I86" s="80"/>
      <c r="J86" s="81"/>
      <c r="K86" s="81"/>
      <c r="L86" s="81"/>
      <c r="M86" s="82"/>
      <c r="N86" s="82"/>
      <c r="O86" s="82"/>
      <c r="P86" s="81"/>
      <c r="Q86" s="81"/>
      <c r="R86" s="81"/>
      <c r="S86" s="49">
        <v>1452315</v>
      </c>
      <c r="T86" s="114"/>
      <c r="U86" s="114">
        <v>25</v>
      </c>
      <c r="V86" s="44">
        <f t="shared" si="16"/>
        <v>1452290</v>
      </c>
    </row>
    <row r="87" spans="1:22" ht="26.25" customHeight="1" hidden="1">
      <c r="A87" s="52" t="s">
        <v>29</v>
      </c>
      <c r="B87" s="75" t="s">
        <v>117</v>
      </c>
      <c r="C87" s="35"/>
      <c r="D87" s="35">
        <v>75809</v>
      </c>
      <c r="E87" s="35"/>
      <c r="F87" s="38">
        <f>F88+F89</f>
        <v>0</v>
      </c>
      <c r="G87" s="53">
        <f>G88+G89</f>
        <v>0</v>
      </c>
      <c r="H87" s="40">
        <f aca="true" t="shared" si="19" ref="H87:H93">IF(F87&gt;0,G87/F87*100,"")</f>
      </c>
      <c r="I87" s="41" t="e">
        <f>F87/F168</f>
        <v>#REF!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43"/>
      <c r="U87" s="43"/>
      <c r="V87" s="44">
        <f t="shared" si="16"/>
        <v>0</v>
      </c>
    </row>
    <row r="88" spans="1:22" ht="52.5" customHeight="1" hidden="1">
      <c r="A88" s="52"/>
      <c r="B88" s="75" t="s">
        <v>118</v>
      </c>
      <c r="C88" s="35"/>
      <c r="D88" s="35"/>
      <c r="E88" s="35">
        <v>271</v>
      </c>
      <c r="F88" s="38">
        <v>0</v>
      </c>
      <c r="G88" s="53">
        <v>0</v>
      </c>
      <c r="H88" s="40">
        <f t="shared" si="19"/>
      </c>
      <c r="I88" s="41" t="e">
        <f>F88/F168</f>
        <v>#REF!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43"/>
      <c r="U88" s="43"/>
      <c r="V88" s="44">
        <f t="shared" si="16"/>
        <v>0</v>
      </c>
    </row>
    <row r="89" spans="1:22" ht="63.75" customHeight="1" hidden="1">
      <c r="A89" s="52"/>
      <c r="B89" s="75" t="s">
        <v>119</v>
      </c>
      <c r="C89" s="35"/>
      <c r="D89" s="35"/>
      <c r="E89" s="35">
        <v>630</v>
      </c>
      <c r="F89" s="38">
        <v>0</v>
      </c>
      <c r="G89" s="53">
        <v>0</v>
      </c>
      <c r="H89" s="40">
        <f t="shared" si="19"/>
      </c>
      <c r="I89" s="41" t="e">
        <f>F89/F168</f>
        <v>#REF!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43"/>
      <c r="U89" s="43"/>
      <c r="V89" s="44">
        <f t="shared" si="16"/>
        <v>0</v>
      </c>
    </row>
    <row r="90" spans="1:22" ht="18" customHeight="1">
      <c r="A90" s="22" t="s">
        <v>120</v>
      </c>
      <c r="B90" s="99" t="s">
        <v>121</v>
      </c>
      <c r="C90" s="24" t="s">
        <v>122</v>
      </c>
      <c r="D90" s="92"/>
      <c r="E90" s="92"/>
      <c r="F90" s="27" t="e">
        <f>F91+#REF!</f>
        <v>#REF!</v>
      </c>
      <c r="G90" s="73" t="e">
        <f>G91+#REF!+G96+#REF!</f>
        <v>#REF!</v>
      </c>
      <c r="H90" s="55" t="e">
        <f t="shared" si="19"/>
        <v>#REF!</v>
      </c>
      <c r="I90" s="74" t="e">
        <f>F90/F168</f>
        <v>#REF!</v>
      </c>
      <c r="J90" s="23"/>
      <c r="K90" s="23" t="e">
        <f>K91+#REF!+K96+#REF!</f>
        <v>#REF!</v>
      </c>
      <c r="L90" s="23" t="e">
        <f>L91+#REF!+L96+#REF!</f>
        <v>#REF!</v>
      </c>
      <c r="M90" s="23" t="e">
        <f>M91+M96+#REF!+#REF!</f>
        <v>#REF!</v>
      </c>
      <c r="N90" s="23" t="e">
        <f>N91+N96+#REF!</f>
        <v>#REF!</v>
      </c>
      <c r="O90" s="23" t="e">
        <f>O91+O96+#REF!</f>
        <v>#REF!</v>
      </c>
      <c r="P90" s="56" t="e">
        <f>P91+P96+#REF!+#REF!</f>
        <v>#REF!</v>
      </c>
      <c r="Q90" s="56" t="e">
        <f>Q91+Q96+#REF!+#REF!</f>
        <v>#REF!</v>
      </c>
      <c r="R90" s="56" t="e">
        <f>R91+R96+#REF!+#REF!</f>
        <v>#REF!</v>
      </c>
      <c r="S90" s="56">
        <f>S91+S96</f>
        <v>133732</v>
      </c>
      <c r="T90" s="56">
        <f>T91+T96</f>
        <v>5637</v>
      </c>
      <c r="U90" s="56">
        <f>U91+U96</f>
        <v>3100</v>
      </c>
      <c r="V90" s="95">
        <f t="shared" si="16"/>
        <v>136269</v>
      </c>
    </row>
    <row r="91" spans="1:22" s="51" customFormat="1" ht="16.5" customHeight="1">
      <c r="A91" s="33" t="s">
        <v>26</v>
      </c>
      <c r="B91" s="49" t="s">
        <v>123</v>
      </c>
      <c r="C91" s="45"/>
      <c r="D91" s="45" t="s">
        <v>124</v>
      </c>
      <c r="E91" s="45"/>
      <c r="F91" s="46" t="e">
        <f>F92+F93+#REF!+#REF!</f>
        <v>#REF!</v>
      </c>
      <c r="G91" s="39" t="e">
        <f>G92+G93+#REF!+#REF!</f>
        <v>#REF!</v>
      </c>
      <c r="H91" s="47" t="e">
        <f t="shared" si="19"/>
        <v>#REF!</v>
      </c>
      <c r="I91" s="48" t="e">
        <f>F91/F168</f>
        <v>#REF!</v>
      </c>
      <c r="J91" s="49"/>
      <c r="K91" s="49" t="e">
        <f>K92+K93+#REF!+#REF!</f>
        <v>#REF!</v>
      </c>
      <c r="L91" s="49" t="e">
        <f>L92+L93+#REF!+#REF!</f>
        <v>#REF!</v>
      </c>
      <c r="M91" s="49" t="e">
        <f>M92+M93+#REF!+#REF!+#REF!</f>
        <v>#REF!</v>
      </c>
      <c r="N91" s="49" t="e">
        <f>N92+N93+#REF!+#REF!+#REF!</f>
        <v>#REF!</v>
      </c>
      <c r="O91" s="49" t="e">
        <f>O92+O93+#REF!+#REF!+#REF!</f>
        <v>#REF!</v>
      </c>
      <c r="P91" s="49" t="e">
        <f>P92+P93+#REF!+#REF!</f>
        <v>#REF!</v>
      </c>
      <c r="Q91" s="49" t="e">
        <f>Q92+Q93+#REF!+#REF!</f>
        <v>#REF!</v>
      </c>
      <c r="R91" s="49" t="e">
        <f>R92+R93+#REF!+#REF!</f>
        <v>#REF!</v>
      </c>
      <c r="S91" s="49">
        <f>S92+S93+S94+S95</f>
        <v>17830</v>
      </c>
      <c r="T91" s="49">
        <f>T92+T93+T94+T95</f>
        <v>0</v>
      </c>
      <c r="U91" s="49">
        <f>U92+U93+U94+U95</f>
        <v>0</v>
      </c>
      <c r="V91" s="44">
        <f t="shared" si="16"/>
        <v>17830</v>
      </c>
    </row>
    <row r="92" spans="1:22" ht="16.5" customHeight="1">
      <c r="A92" s="52"/>
      <c r="B92" s="37" t="s">
        <v>32</v>
      </c>
      <c r="C92" s="36"/>
      <c r="D92" s="36"/>
      <c r="E92" s="36" t="s">
        <v>33</v>
      </c>
      <c r="F92" s="38">
        <v>490</v>
      </c>
      <c r="G92" s="53">
        <v>500</v>
      </c>
      <c r="H92" s="40">
        <f t="shared" si="19"/>
        <v>102.04081632653062</v>
      </c>
      <c r="I92" s="41" t="e">
        <f>F92/F168</f>
        <v>#REF!</v>
      </c>
      <c r="J92" s="37"/>
      <c r="K92" s="37">
        <v>0</v>
      </c>
      <c r="L92" s="37">
        <v>0</v>
      </c>
      <c r="M92" s="37">
        <v>450</v>
      </c>
      <c r="N92" s="37">
        <v>0</v>
      </c>
      <c r="O92" s="37">
        <v>0</v>
      </c>
      <c r="P92" s="37">
        <v>600</v>
      </c>
      <c r="Q92" s="37">
        <v>0</v>
      </c>
      <c r="R92" s="37">
        <v>0</v>
      </c>
      <c r="S92" s="37">
        <v>400</v>
      </c>
      <c r="T92" s="43"/>
      <c r="U92" s="43"/>
      <c r="V92" s="44">
        <f t="shared" si="16"/>
        <v>400</v>
      </c>
    </row>
    <row r="93" spans="1:22" ht="21.75" customHeight="1">
      <c r="A93" s="52"/>
      <c r="B93" s="87" t="s">
        <v>125</v>
      </c>
      <c r="C93" s="36"/>
      <c r="D93" s="36"/>
      <c r="E93" s="36" t="s">
        <v>49</v>
      </c>
      <c r="F93" s="38">
        <v>41300</v>
      </c>
      <c r="G93" s="53">
        <v>53461</v>
      </c>
      <c r="H93" s="40">
        <f t="shared" si="19"/>
        <v>129.4455205811138</v>
      </c>
      <c r="I93" s="41" t="e">
        <f>F93/F168</f>
        <v>#REF!</v>
      </c>
      <c r="J93" s="37"/>
      <c r="K93" s="37">
        <v>0</v>
      </c>
      <c r="L93" s="37">
        <v>0</v>
      </c>
      <c r="M93" s="37">
        <v>39124</v>
      </c>
      <c r="N93" s="37">
        <v>0</v>
      </c>
      <c r="O93" s="37">
        <v>0</v>
      </c>
      <c r="P93" s="37">
        <v>29000</v>
      </c>
      <c r="Q93" s="37">
        <v>0</v>
      </c>
      <c r="R93" s="37">
        <v>4000</v>
      </c>
      <c r="S93" s="37">
        <v>17000</v>
      </c>
      <c r="T93" s="43"/>
      <c r="U93" s="43"/>
      <c r="V93" s="44">
        <f t="shared" si="16"/>
        <v>17000</v>
      </c>
    </row>
    <row r="94" spans="1:22" ht="13.5" customHeight="1">
      <c r="A94" s="52"/>
      <c r="B94" s="75" t="s">
        <v>82</v>
      </c>
      <c r="C94" s="36"/>
      <c r="D94" s="36"/>
      <c r="E94" s="36" t="s">
        <v>83</v>
      </c>
      <c r="F94" s="38"/>
      <c r="G94" s="53"/>
      <c r="H94" s="40"/>
      <c r="I94" s="41"/>
      <c r="J94" s="37"/>
      <c r="K94" s="37"/>
      <c r="L94" s="37"/>
      <c r="M94" s="37"/>
      <c r="N94" s="37"/>
      <c r="O94" s="37"/>
      <c r="P94" s="37"/>
      <c r="Q94" s="37"/>
      <c r="R94" s="37"/>
      <c r="S94" s="37">
        <v>0</v>
      </c>
      <c r="T94" s="43"/>
      <c r="U94" s="43"/>
      <c r="V94" s="44">
        <f t="shared" si="16"/>
        <v>0</v>
      </c>
    </row>
    <row r="95" spans="1:22" ht="15.75" customHeight="1">
      <c r="A95" s="52"/>
      <c r="B95" s="75" t="s">
        <v>52</v>
      </c>
      <c r="C95" s="36"/>
      <c r="D95" s="36"/>
      <c r="E95" s="36" t="s">
        <v>53</v>
      </c>
      <c r="F95" s="38"/>
      <c r="G95" s="53"/>
      <c r="H95" s="40"/>
      <c r="I95" s="41"/>
      <c r="J95" s="37"/>
      <c r="K95" s="37"/>
      <c r="L95" s="37"/>
      <c r="M95" s="37"/>
      <c r="N95" s="37"/>
      <c r="O95" s="37"/>
      <c r="P95" s="37"/>
      <c r="Q95" s="37"/>
      <c r="R95" s="37"/>
      <c r="S95" s="37">
        <v>430</v>
      </c>
      <c r="T95" s="43"/>
      <c r="U95" s="43"/>
      <c r="V95" s="44">
        <f t="shared" si="16"/>
        <v>430</v>
      </c>
    </row>
    <row r="96" spans="1:22" s="51" customFormat="1" ht="18.75" customHeight="1">
      <c r="A96" s="33" t="s">
        <v>29</v>
      </c>
      <c r="B96" s="42" t="s">
        <v>126</v>
      </c>
      <c r="C96" s="45"/>
      <c r="D96" s="45" t="s">
        <v>127</v>
      </c>
      <c r="E96" s="45"/>
      <c r="F96" s="46"/>
      <c r="G96" s="39">
        <f>G97+G98+G99+G100+G101+G102</f>
        <v>302185</v>
      </c>
      <c r="H96" s="47"/>
      <c r="I96" s="48"/>
      <c r="J96" s="49"/>
      <c r="K96" s="49">
        <f aca="true" t="shared" si="20" ref="K96:U96">K97+K98+K99+K100+K101+K102</f>
        <v>0</v>
      </c>
      <c r="L96" s="49">
        <f t="shared" si="20"/>
        <v>0</v>
      </c>
      <c r="M96" s="49">
        <f t="shared" si="20"/>
        <v>159655</v>
      </c>
      <c r="N96" s="49">
        <f t="shared" si="20"/>
        <v>0</v>
      </c>
      <c r="O96" s="49">
        <f t="shared" si="20"/>
        <v>0</v>
      </c>
      <c r="P96" s="50">
        <f t="shared" si="20"/>
        <v>252149</v>
      </c>
      <c r="Q96" s="50">
        <f t="shared" si="20"/>
        <v>0</v>
      </c>
      <c r="R96" s="50">
        <f t="shared" si="20"/>
        <v>0</v>
      </c>
      <c r="S96" s="50">
        <f t="shared" si="20"/>
        <v>115902</v>
      </c>
      <c r="T96" s="50">
        <f t="shared" si="20"/>
        <v>5637</v>
      </c>
      <c r="U96" s="50">
        <f t="shared" si="20"/>
        <v>3100</v>
      </c>
      <c r="V96" s="44">
        <f t="shared" si="16"/>
        <v>118439</v>
      </c>
    </row>
    <row r="97" spans="1:22" ht="18.75" customHeight="1">
      <c r="A97" s="52"/>
      <c r="B97" s="37" t="s">
        <v>32</v>
      </c>
      <c r="C97" s="36"/>
      <c r="D97" s="36"/>
      <c r="E97" s="36" t="s">
        <v>33</v>
      </c>
      <c r="F97" s="38"/>
      <c r="G97" s="53">
        <v>330</v>
      </c>
      <c r="H97" s="40"/>
      <c r="I97" s="41"/>
      <c r="J97" s="37"/>
      <c r="K97" s="37">
        <v>0</v>
      </c>
      <c r="L97" s="37"/>
      <c r="M97" s="37">
        <v>0</v>
      </c>
      <c r="N97" s="37">
        <v>0</v>
      </c>
      <c r="O97" s="37">
        <v>0</v>
      </c>
      <c r="P97" s="37">
        <v>300</v>
      </c>
      <c r="Q97" s="37">
        <v>0</v>
      </c>
      <c r="R97" s="37">
        <v>0</v>
      </c>
      <c r="S97" s="37">
        <v>300</v>
      </c>
      <c r="T97" s="43"/>
      <c r="U97" s="43"/>
      <c r="V97" s="44">
        <f t="shared" si="16"/>
        <v>300</v>
      </c>
    </row>
    <row r="98" spans="1:22" ht="23.25" customHeight="1">
      <c r="A98" s="52"/>
      <c r="B98" s="87" t="s">
        <v>125</v>
      </c>
      <c r="C98" s="36"/>
      <c r="D98" s="36"/>
      <c r="E98" s="36" t="s">
        <v>49</v>
      </c>
      <c r="F98" s="38"/>
      <c r="G98" s="53">
        <v>195458</v>
      </c>
      <c r="H98" s="40"/>
      <c r="I98" s="41"/>
      <c r="J98" s="37"/>
      <c r="K98" s="37">
        <v>0</v>
      </c>
      <c r="L98" s="37">
        <v>0</v>
      </c>
      <c r="M98" s="37">
        <v>84152</v>
      </c>
      <c r="N98" s="37">
        <v>0</v>
      </c>
      <c r="O98" s="37">
        <v>0</v>
      </c>
      <c r="P98" s="37">
        <v>180558</v>
      </c>
      <c r="Q98" s="37">
        <v>0</v>
      </c>
      <c r="R98" s="37">
        <v>0</v>
      </c>
      <c r="S98" s="37">
        <v>53900</v>
      </c>
      <c r="T98" s="43"/>
      <c r="U98" s="43">
        <v>3100</v>
      </c>
      <c r="V98" s="44">
        <f t="shared" si="16"/>
        <v>50800</v>
      </c>
    </row>
    <row r="99" spans="1:22" ht="16.5" customHeight="1">
      <c r="A99" s="52"/>
      <c r="B99" s="75" t="s">
        <v>82</v>
      </c>
      <c r="C99" s="36"/>
      <c r="D99" s="36"/>
      <c r="E99" s="36" t="s">
        <v>83</v>
      </c>
      <c r="F99" s="38"/>
      <c r="G99" s="53">
        <v>92116</v>
      </c>
      <c r="H99" s="40"/>
      <c r="I99" s="41"/>
      <c r="J99" s="37"/>
      <c r="K99" s="37">
        <v>0</v>
      </c>
      <c r="L99" s="37">
        <v>0</v>
      </c>
      <c r="M99" s="37">
        <v>69767</v>
      </c>
      <c r="N99" s="37">
        <v>0</v>
      </c>
      <c r="O99" s="37">
        <v>0</v>
      </c>
      <c r="P99" s="37">
        <v>68098</v>
      </c>
      <c r="Q99" s="37">
        <v>0</v>
      </c>
      <c r="R99" s="37">
        <v>0</v>
      </c>
      <c r="S99" s="37">
        <v>58087</v>
      </c>
      <c r="T99" s="43"/>
      <c r="U99" s="43"/>
      <c r="V99" s="44">
        <f t="shared" si="16"/>
        <v>58087</v>
      </c>
    </row>
    <row r="100" spans="1:22" ht="15" customHeight="1">
      <c r="A100" s="52"/>
      <c r="B100" s="75" t="s">
        <v>50</v>
      </c>
      <c r="C100" s="36"/>
      <c r="D100" s="36"/>
      <c r="E100" s="36" t="s">
        <v>51</v>
      </c>
      <c r="F100" s="38"/>
      <c r="G100" s="53">
        <v>200</v>
      </c>
      <c r="H100" s="40"/>
      <c r="I100" s="41"/>
      <c r="J100" s="37"/>
      <c r="K100" s="37">
        <v>0</v>
      </c>
      <c r="L100" s="37">
        <v>0</v>
      </c>
      <c r="M100" s="37">
        <v>200</v>
      </c>
      <c r="N100" s="37">
        <v>0</v>
      </c>
      <c r="O100" s="37">
        <v>0</v>
      </c>
      <c r="P100" s="37">
        <v>230</v>
      </c>
      <c r="Q100" s="37">
        <v>0</v>
      </c>
      <c r="R100" s="37">
        <v>0</v>
      </c>
      <c r="S100" s="37">
        <v>0</v>
      </c>
      <c r="T100" s="43">
        <v>3100</v>
      </c>
      <c r="U100" s="43"/>
      <c r="V100" s="44">
        <f t="shared" si="16"/>
        <v>3100</v>
      </c>
    </row>
    <row r="101" spans="1:22" ht="15" customHeight="1">
      <c r="A101" s="52"/>
      <c r="B101" s="75" t="s">
        <v>52</v>
      </c>
      <c r="C101" s="36"/>
      <c r="D101" s="36"/>
      <c r="E101" s="36" t="s">
        <v>53</v>
      </c>
      <c r="F101" s="38"/>
      <c r="G101" s="53">
        <v>13881</v>
      </c>
      <c r="H101" s="40"/>
      <c r="I101" s="41"/>
      <c r="J101" s="37"/>
      <c r="K101" s="37">
        <v>0</v>
      </c>
      <c r="L101" s="37">
        <v>0</v>
      </c>
      <c r="M101" s="37">
        <v>4650</v>
      </c>
      <c r="N101" s="37">
        <v>0</v>
      </c>
      <c r="O101" s="37">
        <v>0</v>
      </c>
      <c r="P101" s="37">
        <v>1270</v>
      </c>
      <c r="Q101" s="37">
        <v>0</v>
      </c>
      <c r="R101" s="37">
        <v>0</v>
      </c>
      <c r="S101" s="37">
        <v>350</v>
      </c>
      <c r="T101" s="43"/>
      <c r="U101" s="43"/>
      <c r="V101" s="44">
        <f t="shared" si="16"/>
        <v>350</v>
      </c>
    </row>
    <row r="102" spans="1:22" ht="14.25" customHeight="1">
      <c r="A102" s="52"/>
      <c r="B102" s="75" t="s">
        <v>54</v>
      </c>
      <c r="C102" s="36"/>
      <c r="D102" s="36"/>
      <c r="E102" s="36" t="s">
        <v>55</v>
      </c>
      <c r="F102" s="38"/>
      <c r="G102" s="53">
        <v>200</v>
      </c>
      <c r="H102" s="40"/>
      <c r="I102" s="41"/>
      <c r="J102" s="37"/>
      <c r="K102" s="37">
        <v>0</v>
      </c>
      <c r="L102" s="37">
        <v>0</v>
      </c>
      <c r="M102" s="37">
        <v>886</v>
      </c>
      <c r="N102" s="37">
        <v>0</v>
      </c>
      <c r="O102" s="37">
        <v>0</v>
      </c>
      <c r="P102" s="37">
        <v>1693</v>
      </c>
      <c r="Q102" s="37">
        <v>0</v>
      </c>
      <c r="R102" s="37">
        <v>0</v>
      </c>
      <c r="S102" s="37">
        <v>3265</v>
      </c>
      <c r="T102" s="43">
        <v>2537</v>
      </c>
      <c r="U102" s="43"/>
      <c r="V102" s="44">
        <f t="shared" si="16"/>
        <v>5802</v>
      </c>
    </row>
    <row r="103" spans="1:22" ht="21.75" customHeight="1">
      <c r="A103" s="22" t="s">
        <v>128</v>
      </c>
      <c r="B103" s="54" t="s">
        <v>129</v>
      </c>
      <c r="C103" s="94">
        <v>803</v>
      </c>
      <c r="D103" s="31"/>
      <c r="E103" s="94"/>
      <c r="F103" s="72"/>
      <c r="G103" s="73"/>
      <c r="H103" s="55"/>
      <c r="I103" s="74"/>
      <c r="J103" s="23"/>
      <c r="K103" s="23"/>
      <c r="L103" s="23"/>
      <c r="M103" s="23"/>
      <c r="N103" s="23"/>
      <c r="O103" s="23"/>
      <c r="P103" s="23" t="e">
        <f>#REF!</f>
        <v>#REF!</v>
      </c>
      <c r="Q103" s="23" t="e">
        <f>#REF!</f>
        <v>#REF!</v>
      </c>
      <c r="R103" s="23" t="e">
        <f>#REF!</f>
        <v>#REF!</v>
      </c>
      <c r="S103" s="23">
        <f>S104</f>
        <v>72046</v>
      </c>
      <c r="T103" s="23">
        <f>T104</f>
        <v>13055</v>
      </c>
      <c r="U103" s="23">
        <f>U104</f>
        <v>0</v>
      </c>
      <c r="V103" s="95">
        <f t="shared" si="16"/>
        <v>85101</v>
      </c>
    </row>
    <row r="104" spans="1:22" s="108" customFormat="1" ht="21.75" customHeight="1">
      <c r="A104" s="100" t="s">
        <v>26</v>
      </c>
      <c r="B104" s="101" t="s">
        <v>130</v>
      </c>
      <c r="C104" s="102"/>
      <c r="D104" s="102">
        <v>80309</v>
      </c>
      <c r="E104" s="102"/>
      <c r="F104" s="103"/>
      <c r="G104" s="104"/>
      <c r="H104" s="105"/>
      <c r="I104" s="106"/>
      <c r="J104" s="90"/>
      <c r="K104" s="90"/>
      <c r="L104" s="90"/>
      <c r="M104" s="90"/>
      <c r="N104" s="90"/>
      <c r="O104" s="90"/>
      <c r="P104" s="90"/>
      <c r="Q104" s="90"/>
      <c r="R104" s="90"/>
      <c r="S104" s="90">
        <f>S105+S106+S107</f>
        <v>72046</v>
      </c>
      <c r="T104" s="90">
        <f>T105+T106+T107</f>
        <v>13055</v>
      </c>
      <c r="U104" s="90">
        <f>U105+U106+U107</f>
        <v>0</v>
      </c>
      <c r="V104" s="44">
        <f t="shared" si="16"/>
        <v>85101</v>
      </c>
    </row>
    <row r="105" spans="1:22" s="108" customFormat="1" ht="21.75" customHeight="1">
      <c r="A105" s="100"/>
      <c r="B105" s="101"/>
      <c r="C105" s="102"/>
      <c r="D105" s="102"/>
      <c r="E105" s="102">
        <v>920</v>
      </c>
      <c r="F105" s="103"/>
      <c r="G105" s="104"/>
      <c r="H105" s="105"/>
      <c r="I105" s="106"/>
      <c r="J105" s="90"/>
      <c r="K105" s="90"/>
      <c r="L105" s="90"/>
      <c r="M105" s="90"/>
      <c r="N105" s="90"/>
      <c r="O105" s="90"/>
      <c r="P105" s="90"/>
      <c r="Q105" s="90"/>
      <c r="R105" s="90"/>
      <c r="S105" s="90">
        <v>0</v>
      </c>
      <c r="T105" s="91">
        <v>40</v>
      </c>
      <c r="U105" s="91"/>
      <c r="V105" s="44">
        <f t="shared" si="16"/>
        <v>40</v>
      </c>
    </row>
    <row r="106" spans="1:22" ht="47.25" customHeight="1">
      <c r="A106" s="33"/>
      <c r="B106" s="87" t="s">
        <v>131</v>
      </c>
      <c r="C106" s="89"/>
      <c r="D106" s="89"/>
      <c r="E106" s="89">
        <v>2888</v>
      </c>
      <c r="F106" s="46"/>
      <c r="G106" s="39"/>
      <c r="H106" s="47"/>
      <c r="I106" s="48"/>
      <c r="J106" s="49"/>
      <c r="K106" s="49"/>
      <c r="L106" s="49"/>
      <c r="M106" s="49"/>
      <c r="N106" s="49"/>
      <c r="O106" s="49"/>
      <c r="P106" s="37"/>
      <c r="Q106" s="37"/>
      <c r="R106" s="37"/>
      <c r="S106" s="37">
        <v>54034</v>
      </c>
      <c r="T106" s="43">
        <v>9761</v>
      </c>
      <c r="U106" s="43"/>
      <c r="V106" s="44">
        <f t="shared" si="16"/>
        <v>63795</v>
      </c>
    </row>
    <row r="107" spans="1:22" ht="44.25" customHeight="1">
      <c r="A107" s="33"/>
      <c r="B107" s="87" t="s">
        <v>131</v>
      </c>
      <c r="C107" s="89"/>
      <c r="D107" s="89"/>
      <c r="E107" s="89">
        <v>2889</v>
      </c>
      <c r="F107" s="46"/>
      <c r="G107" s="39"/>
      <c r="H107" s="47"/>
      <c r="I107" s="48"/>
      <c r="J107" s="49"/>
      <c r="K107" s="49"/>
      <c r="L107" s="49"/>
      <c r="M107" s="49"/>
      <c r="N107" s="49"/>
      <c r="O107" s="49"/>
      <c r="P107" s="37"/>
      <c r="Q107" s="37"/>
      <c r="R107" s="37"/>
      <c r="S107" s="37">
        <v>18012</v>
      </c>
      <c r="T107" s="43">
        <v>3254</v>
      </c>
      <c r="U107" s="43"/>
      <c r="V107" s="44">
        <f aca="true" t="shared" si="21" ref="V107:V138">S107+T107-U107</f>
        <v>21266</v>
      </c>
    </row>
    <row r="108" spans="1:22" ht="15" customHeight="1">
      <c r="A108" s="22" t="s">
        <v>132</v>
      </c>
      <c r="B108" s="54" t="s">
        <v>133</v>
      </c>
      <c r="C108" s="24" t="s">
        <v>134</v>
      </c>
      <c r="D108" s="24"/>
      <c r="E108" s="24"/>
      <c r="F108" s="72"/>
      <c r="G108" s="73"/>
      <c r="H108" s="55"/>
      <c r="I108" s="74"/>
      <c r="J108" s="23"/>
      <c r="K108" s="23"/>
      <c r="L108" s="23"/>
      <c r="M108" s="23"/>
      <c r="N108" s="23"/>
      <c r="O108" s="23"/>
      <c r="P108" s="23">
        <f>P109</f>
        <v>8070</v>
      </c>
      <c r="Q108" s="23">
        <f>Q109</f>
        <v>0</v>
      </c>
      <c r="R108" s="23">
        <f>R109</f>
        <v>0</v>
      </c>
      <c r="S108" s="23">
        <f>S109+S115</f>
        <v>3221476</v>
      </c>
      <c r="T108" s="23">
        <f>T109+T115</f>
        <v>3000</v>
      </c>
      <c r="U108" s="23">
        <f>U109+U115</f>
        <v>0</v>
      </c>
      <c r="V108" s="95">
        <f t="shared" si="21"/>
        <v>3224476</v>
      </c>
    </row>
    <row r="109" spans="1:22" s="51" customFormat="1" ht="16.5" customHeight="1">
      <c r="A109" s="33" t="s">
        <v>26</v>
      </c>
      <c r="B109" s="42" t="s">
        <v>135</v>
      </c>
      <c r="C109" s="45"/>
      <c r="D109" s="45" t="s">
        <v>136</v>
      </c>
      <c r="E109" s="45"/>
      <c r="F109" s="46"/>
      <c r="G109" s="39"/>
      <c r="H109" s="47"/>
      <c r="I109" s="48"/>
      <c r="J109" s="49"/>
      <c r="K109" s="49"/>
      <c r="L109" s="49"/>
      <c r="M109" s="49"/>
      <c r="N109" s="49"/>
      <c r="O109" s="49"/>
      <c r="P109" s="49">
        <f>P111</f>
        <v>8070</v>
      </c>
      <c r="Q109" s="49">
        <f>Q111</f>
        <v>0</v>
      </c>
      <c r="R109" s="49">
        <f>R111</f>
        <v>0</v>
      </c>
      <c r="S109" s="49">
        <f>S110+S111+S112+S113+S114</f>
        <v>2676476</v>
      </c>
      <c r="T109" s="49">
        <f>T110+T111+T112+T113+T114</f>
        <v>0</v>
      </c>
      <c r="U109" s="49">
        <f>U110+U111+U112+U113+U114</f>
        <v>0</v>
      </c>
      <c r="V109" s="44">
        <f t="shared" si="21"/>
        <v>2676476</v>
      </c>
    </row>
    <row r="110" spans="1:22" ht="25.5" customHeight="1">
      <c r="A110" s="86"/>
      <c r="B110" s="42" t="s">
        <v>137</v>
      </c>
      <c r="C110" s="36"/>
      <c r="D110" s="76"/>
      <c r="E110" s="45" t="s">
        <v>138</v>
      </c>
      <c r="F110" s="46"/>
      <c r="G110" s="39"/>
      <c r="H110" s="47"/>
      <c r="I110" s="48"/>
      <c r="J110" s="49"/>
      <c r="K110" s="49"/>
      <c r="L110" s="49"/>
      <c r="M110" s="49"/>
      <c r="N110" s="49"/>
      <c r="O110" s="49"/>
      <c r="P110" s="49"/>
      <c r="Q110" s="49"/>
      <c r="R110" s="49"/>
      <c r="S110" s="49">
        <v>60006</v>
      </c>
      <c r="T110" s="114"/>
      <c r="U110" s="114"/>
      <c r="V110" s="44">
        <f t="shared" si="21"/>
        <v>60006</v>
      </c>
    </row>
    <row r="111" spans="1:22" ht="26.25" customHeight="1">
      <c r="A111" s="52"/>
      <c r="B111" s="75" t="s">
        <v>139</v>
      </c>
      <c r="C111" s="36"/>
      <c r="D111" s="36"/>
      <c r="E111" s="36" t="s">
        <v>49</v>
      </c>
      <c r="F111" s="38"/>
      <c r="G111" s="53"/>
      <c r="H111" s="40"/>
      <c r="I111" s="41"/>
      <c r="J111" s="37"/>
      <c r="K111" s="37"/>
      <c r="L111" s="37"/>
      <c r="M111" s="37"/>
      <c r="N111" s="37"/>
      <c r="O111" s="37"/>
      <c r="P111" s="37">
        <v>8070</v>
      </c>
      <c r="Q111" s="37">
        <v>0</v>
      </c>
      <c r="R111" s="37">
        <v>0</v>
      </c>
      <c r="S111" s="37">
        <v>54120</v>
      </c>
      <c r="T111" s="43"/>
      <c r="U111" s="43"/>
      <c r="V111" s="44">
        <f t="shared" si="21"/>
        <v>54120</v>
      </c>
    </row>
    <row r="112" spans="1:22" ht="24" customHeight="1">
      <c r="A112" s="33"/>
      <c r="B112" s="84" t="s">
        <v>60</v>
      </c>
      <c r="C112" s="45"/>
      <c r="D112" s="45"/>
      <c r="E112" s="45" t="s">
        <v>59</v>
      </c>
      <c r="F112" s="49"/>
      <c r="G112" s="49"/>
      <c r="H112" s="47"/>
      <c r="I112" s="47"/>
      <c r="J112" s="49"/>
      <c r="K112" s="49"/>
      <c r="L112" s="49"/>
      <c r="M112" s="49"/>
      <c r="N112" s="49"/>
      <c r="O112" s="49"/>
      <c r="P112" s="50"/>
      <c r="Q112" s="50"/>
      <c r="R112" s="50"/>
      <c r="S112" s="50">
        <v>1801762</v>
      </c>
      <c r="T112" s="83"/>
      <c r="U112" s="83"/>
      <c r="V112" s="44">
        <f t="shared" si="21"/>
        <v>1801762</v>
      </c>
    </row>
    <row r="113" spans="1:22" ht="21.75" customHeight="1">
      <c r="A113" s="33"/>
      <c r="B113" s="84" t="s">
        <v>60</v>
      </c>
      <c r="C113" s="45"/>
      <c r="D113" s="45"/>
      <c r="E113" s="45" t="s">
        <v>61</v>
      </c>
      <c r="F113" s="49"/>
      <c r="G113" s="49"/>
      <c r="H113" s="47"/>
      <c r="I113" s="47"/>
      <c r="J113" s="49"/>
      <c r="K113" s="49"/>
      <c r="L113" s="49"/>
      <c r="M113" s="49"/>
      <c r="N113" s="49"/>
      <c r="O113" s="49"/>
      <c r="P113" s="50"/>
      <c r="Q113" s="50"/>
      <c r="R113" s="50"/>
      <c r="S113" s="50">
        <v>349000</v>
      </c>
      <c r="T113" s="83"/>
      <c r="U113" s="83"/>
      <c r="V113" s="44">
        <f t="shared" si="21"/>
        <v>349000</v>
      </c>
    </row>
    <row r="114" spans="1:22" ht="24.75" customHeight="1">
      <c r="A114" s="86"/>
      <c r="B114" s="42" t="s">
        <v>62</v>
      </c>
      <c r="C114" s="35"/>
      <c r="D114" s="88"/>
      <c r="E114" s="89">
        <v>6619</v>
      </c>
      <c r="F114" s="46"/>
      <c r="G114" s="39"/>
      <c r="H114" s="47"/>
      <c r="I114" s="48"/>
      <c r="J114" s="49"/>
      <c r="K114" s="49"/>
      <c r="L114" s="49"/>
      <c r="M114" s="49"/>
      <c r="N114" s="49"/>
      <c r="O114" s="49"/>
      <c r="P114" s="49"/>
      <c r="Q114" s="49"/>
      <c r="R114" s="49"/>
      <c r="S114" s="90">
        <v>411588</v>
      </c>
      <c r="T114" s="91"/>
      <c r="U114" s="91"/>
      <c r="V114" s="44">
        <f t="shared" si="21"/>
        <v>411588</v>
      </c>
    </row>
    <row r="115" spans="1:22" ht="25.5" customHeight="1">
      <c r="A115" s="52" t="s">
        <v>29</v>
      </c>
      <c r="B115" s="75" t="s">
        <v>140</v>
      </c>
      <c r="C115" s="35"/>
      <c r="D115" s="35">
        <v>85156</v>
      </c>
      <c r="E115" s="37"/>
      <c r="F115" s="38"/>
      <c r="G115" s="53">
        <v>2010880</v>
      </c>
      <c r="H115" s="40"/>
      <c r="I115" s="41"/>
      <c r="J115" s="37"/>
      <c r="K115" s="37">
        <v>0</v>
      </c>
      <c r="L115" s="37">
        <v>0</v>
      </c>
      <c r="M115" s="37">
        <v>567150</v>
      </c>
      <c r="N115" s="37">
        <v>0</v>
      </c>
      <c r="O115" s="37">
        <v>70165</v>
      </c>
      <c r="P115" s="37">
        <v>363000</v>
      </c>
      <c r="Q115" s="37">
        <v>0</v>
      </c>
      <c r="R115" s="37">
        <v>0</v>
      </c>
      <c r="S115" s="37">
        <f>S116</f>
        <v>545000</v>
      </c>
      <c r="T115" s="37">
        <f>T116</f>
        <v>3000</v>
      </c>
      <c r="U115" s="37">
        <f>U116</f>
        <v>0</v>
      </c>
      <c r="V115" s="44">
        <f t="shared" si="21"/>
        <v>548000</v>
      </c>
    </row>
    <row r="116" spans="1:22" ht="25.5" customHeight="1">
      <c r="A116" s="52"/>
      <c r="B116" s="75" t="s">
        <v>141</v>
      </c>
      <c r="C116" s="35"/>
      <c r="D116" s="35"/>
      <c r="E116" s="35">
        <v>2110</v>
      </c>
      <c r="F116" s="38"/>
      <c r="G116" s="53"/>
      <c r="H116" s="40"/>
      <c r="I116" s="41"/>
      <c r="J116" s="37"/>
      <c r="K116" s="37"/>
      <c r="L116" s="37"/>
      <c r="M116" s="37"/>
      <c r="N116" s="37"/>
      <c r="O116" s="37"/>
      <c r="P116" s="37"/>
      <c r="Q116" s="37"/>
      <c r="R116" s="37"/>
      <c r="S116" s="37">
        <v>545000</v>
      </c>
      <c r="T116" s="43">
        <v>3000</v>
      </c>
      <c r="U116" s="43"/>
      <c r="V116" s="44">
        <f t="shared" si="21"/>
        <v>548000</v>
      </c>
    </row>
    <row r="117" spans="1:22" ht="29.25" customHeight="1">
      <c r="A117" s="22" t="s">
        <v>142</v>
      </c>
      <c r="B117" s="54" t="s">
        <v>143</v>
      </c>
      <c r="C117" s="94">
        <v>852</v>
      </c>
      <c r="D117" s="94"/>
      <c r="E117" s="94"/>
      <c r="F117" s="72"/>
      <c r="G117" s="73"/>
      <c r="H117" s="55"/>
      <c r="I117" s="74"/>
      <c r="J117" s="23"/>
      <c r="K117" s="23"/>
      <c r="L117" s="23"/>
      <c r="M117" s="23"/>
      <c r="N117" s="23"/>
      <c r="O117" s="23"/>
      <c r="P117" s="23"/>
      <c r="Q117" s="23"/>
      <c r="R117" s="23"/>
      <c r="S117" s="23">
        <f>S118+S123+S128+S131</f>
        <v>1076053</v>
      </c>
      <c r="T117" s="23">
        <f>T118+T123+T128+T131</f>
        <v>150</v>
      </c>
      <c r="U117" s="23">
        <f>U118+U123+U128+U131</f>
        <v>0</v>
      </c>
      <c r="V117" s="95">
        <f t="shared" si="21"/>
        <v>1076203</v>
      </c>
    </row>
    <row r="118" spans="1:22" s="51" customFormat="1" ht="26.25" customHeight="1">
      <c r="A118" s="33" t="s">
        <v>26</v>
      </c>
      <c r="B118" s="42" t="s">
        <v>144</v>
      </c>
      <c r="C118" s="45"/>
      <c r="D118" s="45" t="s">
        <v>145</v>
      </c>
      <c r="E118" s="45"/>
      <c r="F118" s="46" t="e">
        <f>#REF!+F120+#REF!+#REF!+F121</f>
        <v>#REF!</v>
      </c>
      <c r="G118" s="39" t="e">
        <f>#REF!+G120+#REF!+#REF!+G121+#REF!</f>
        <v>#REF!</v>
      </c>
      <c r="H118" s="47" t="e">
        <f>IF(F118&gt;0,G118/F118*100,"")</f>
        <v>#REF!</v>
      </c>
      <c r="I118" s="48" t="e">
        <f>F118/F168</f>
        <v>#REF!</v>
      </c>
      <c r="J118" s="49"/>
      <c r="K118" s="49" t="e">
        <f>#REF!+K120+#REF!+#REF!+K121+#REF!</f>
        <v>#REF!</v>
      </c>
      <c r="L118" s="49" t="e">
        <f>#REF!+L120+#REF!+#REF!+L121++#REF!</f>
        <v>#REF!</v>
      </c>
      <c r="M118" s="49" t="e">
        <f>#REF!+M120+#REF!+#REF!+M121+#REF!</f>
        <v>#REF!</v>
      </c>
      <c r="N118" s="49" t="e">
        <f>#REF!+N120+#REF!+#REF!+N121+#REF!</f>
        <v>#REF!</v>
      </c>
      <c r="O118" s="49" t="e">
        <f>#REF!+O120+#REF!+#REF!+O121+#REF!</f>
        <v>#REF!</v>
      </c>
      <c r="P118" s="50">
        <f>P120+P121</f>
        <v>6850</v>
      </c>
      <c r="Q118" s="50">
        <f>Q120+Q121</f>
        <v>0</v>
      </c>
      <c r="R118" s="50">
        <f>R120+R121</f>
        <v>0</v>
      </c>
      <c r="S118" s="50">
        <f>S119+S120+S121+S122</f>
        <v>240021</v>
      </c>
      <c r="T118" s="50">
        <f>T119+T120+T121+T122</f>
        <v>0</v>
      </c>
      <c r="U118" s="50">
        <f>U119+U120+U121+U122</f>
        <v>0</v>
      </c>
      <c r="V118" s="44">
        <f t="shared" si="21"/>
        <v>240021</v>
      </c>
    </row>
    <row r="119" spans="1:22" ht="23.25" customHeight="1">
      <c r="A119" s="86"/>
      <c r="B119" s="75" t="s">
        <v>146</v>
      </c>
      <c r="C119" s="76"/>
      <c r="D119" s="76"/>
      <c r="E119" s="45" t="s">
        <v>147</v>
      </c>
      <c r="F119" s="46"/>
      <c r="G119" s="39"/>
      <c r="H119" s="47"/>
      <c r="I119" s="48"/>
      <c r="J119" s="49"/>
      <c r="K119" s="49"/>
      <c r="L119" s="49"/>
      <c r="M119" s="49"/>
      <c r="N119" s="49"/>
      <c r="O119" s="49"/>
      <c r="P119" s="50"/>
      <c r="Q119" s="50"/>
      <c r="R119" s="50"/>
      <c r="S119" s="50">
        <v>300</v>
      </c>
      <c r="T119" s="83"/>
      <c r="U119" s="83"/>
      <c r="V119" s="44">
        <f t="shared" si="21"/>
        <v>300</v>
      </c>
    </row>
    <row r="120" spans="1:22" ht="15.75" customHeight="1">
      <c r="A120" s="86"/>
      <c r="B120" s="75" t="s">
        <v>125</v>
      </c>
      <c r="C120" s="36"/>
      <c r="D120" s="36"/>
      <c r="E120" s="36" t="s">
        <v>49</v>
      </c>
      <c r="F120" s="38">
        <v>2740</v>
      </c>
      <c r="G120" s="39">
        <v>4713</v>
      </c>
      <c r="H120" s="40">
        <f>IF(F120&gt;0,G120/F120*100,"")</f>
        <v>172.007299270073</v>
      </c>
      <c r="I120" s="41" t="e">
        <f>F120/F168</f>
        <v>#REF!</v>
      </c>
      <c r="J120" s="37"/>
      <c r="K120" s="37">
        <v>0</v>
      </c>
      <c r="L120" s="37">
        <v>0</v>
      </c>
      <c r="M120" s="37">
        <v>6500</v>
      </c>
      <c r="N120" s="37">
        <v>0</v>
      </c>
      <c r="O120" s="37">
        <v>0</v>
      </c>
      <c r="P120" s="37">
        <v>6500</v>
      </c>
      <c r="Q120" s="37">
        <v>0</v>
      </c>
      <c r="R120" s="37">
        <v>0</v>
      </c>
      <c r="S120" s="37">
        <v>0</v>
      </c>
      <c r="T120" s="43"/>
      <c r="U120" s="43"/>
      <c r="V120" s="44">
        <f t="shared" si="21"/>
        <v>0</v>
      </c>
    </row>
    <row r="121" spans="1:22" ht="14.25" customHeight="1">
      <c r="A121" s="86"/>
      <c r="B121" s="49" t="s">
        <v>52</v>
      </c>
      <c r="C121" s="36"/>
      <c r="D121" s="36"/>
      <c r="E121" s="36" t="s">
        <v>53</v>
      </c>
      <c r="F121" s="38">
        <v>4000</v>
      </c>
      <c r="G121" s="39">
        <v>6000</v>
      </c>
      <c r="H121" s="40">
        <f>IF(F121&gt;0,G121/F121*100,"")</f>
        <v>150</v>
      </c>
      <c r="I121" s="41" t="e">
        <f>F121/F168</f>
        <v>#REF!</v>
      </c>
      <c r="J121" s="37"/>
      <c r="K121" s="37">
        <v>0</v>
      </c>
      <c r="L121" s="37">
        <v>0</v>
      </c>
      <c r="M121" s="37">
        <v>2500</v>
      </c>
      <c r="N121" s="37">
        <v>0</v>
      </c>
      <c r="O121" s="37">
        <v>0</v>
      </c>
      <c r="P121" s="37">
        <v>350</v>
      </c>
      <c r="Q121" s="37">
        <v>0</v>
      </c>
      <c r="R121" s="37">
        <v>0</v>
      </c>
      <c r="S121" s="37">
        <v>200</v>
      </c>
      <c r="T121" s="43"/>
      <c r="U121" s="43"/>
      <c r="V121" s="44">
        <f t="shared" si="21"/>
        <v>200</v>
      </c>
    </row>
    <row r="122" spans="1:22" s="115" customFormat="1" ht="24.75" customHeight="1">
      <c r="A122" s="86"/>
      <c r="B122" s="42" t="s">
        <v>148</v>
      </c>
      <c r="C122" s="88"/>
      <c r="D122" s="89"/>
      <c r="E122" s="89">
        <v>2320</v>
      </c>
      <c r="F122" s="46"/>
      <c r="G122" s="39"/>
      <c r="H122" s="47"/>
      <c r="I122" s="48"/>
      <c r="J122" s="49"/>
      <c r="K122" s="49"/>
      <c r="L122" s="49"/>
      <c r="M122" s="49"/>
      <c r="N122" s="49"/>
      <c r="O122" s="49"/>
      <c r="P122" s="49"/>
      <c r="Q122" s="49"/>
      <c r="R122" s="49"/>
      <c r="S122" s="49">
        <v>239521</v>
      </c>
      <c r="T122" s="114"/>
      <c r="U122" s="114"/>
      <c r="V122" s="44">
        <f t="shared" si="21"/>
        <v>239521</v>
      </c>
    </row>
    <row r="123" spans="1:22" s="51" customFormat="1" ht="15.75" customHeight="1">
      <c r="A123" s="33" t="s">
        <v>29</v>
      </c>
      <c r="B123" s="49" t="s">
        <v>149</v>
      </c>
      <c r="C123" s="45"/>
      <c r="D123" s="45" t="s">
        <v>150</v>
      </c>
      <c r="E123" s="45"/>
      <c r="F123" s="46">
        <f>F124+F125</f>
        <v>159900</v>
      </c>
      <c r="G123" s="39">
        <f>G124+G125</f>
        <v>170000</v>
      </c>
      <c r="H123" s="47">
        <f>IF(F123&gt;0,G123/F123*100,"")</f>
        <v>106.31644777986241</v>
      </c>
      <c r="I123" s="48" t="e">
        <f>F123/F168</f>
        <v>#REF!</v>
      </c>
      <c r="J123" s="49"/>
      <c r="K123" s="49">
        <f>K124+K125</f>
        <v>6500</v>
      </c>
      <c r="L123" s="49">
        <f>L124+L125</f>
        <v>500</v>
      </c>
      <c r="M123" s="49">
        <f>M124+M125</f>
        <v>180500</v>
      </c>
      <c r="N123" s="49">
        <f>N124+N125</f>
        <v>0</v>
      </c>
      <c r="O123" s="49">
        <f>O124+O125</f>
        <v>0</v>
      </c>
      <c r="P123" s="50">
        <f>P124+P125+P126</f>
        <v>182200</v>
      </c>
      <c r="Q123" s="50">
        <f>Q124+Q125+Q126</f>
        <v>0</v>
      </c>
      <c r="R123" s="50">
        <f>R124+R125+R126</f>
        <v>0</v>
      </c>
      <c r="S123" s="50">
        <f>S124+S125+S126+S127</f>
        <v>807585</v>
      </c>
      <c r="T123" s="50">
        <f>T124+T125+T126+T127</f>
        <v>0</v>
      </c>
      <c r="U123" s="50">
        <f>U124+U125+U126+U127</f>
        <v>0</v>
      </c>
      <c r="V123" s="44">
        <f t="shared" si="21"/>
        <v>807585</v>
      </c>
    </row>
    <row r="124" spans="1:22" ht="15.75" customHeight="1">
      <c r="A124" s="52"/>
      <c r="B124" s="37" t="s">
        <v>82</v>
      </c>
      <c r="C124" s="36"/>
      <c r="D124" s="36"/>
      <c r="E124" s="36" t="s">
        <v>83</v>
      </c>
      <c r="F124" s="38">
        <v>159000</v>
      </c>
      <c r="G124" s="53">
        <v>169000</v>
      </c>
      <c r="H124" s="40">
        <f>IF(F124&gt;0,G124/F124*100,"")</f>
        <v>106.28930817610063</v>
      </c>
      <c r="I124" s="41" t="e">
        <f>F124/F168</f>
        <v>#REF!</v>
      </c>
      <c r="J124" s="37"/>
      <c r="K124" s="37">
        <v>6500</v>
      </c>
      <c r="L124" s="37">
        <v>0</v>
      </c>
      <c r="M124" s="37">
        <v>180000</v>
      </c>
      <c r="N124" s="37">
        <v>0</v>
      </c>
      <c r="O124" s="37">
        <v>0</v>
      </c>
      <c r="P124" s="37">
        <v>182000</v>
      </c>
      <c r="Q124" s="37">
        <v>0</v>
      </c>
      <c r="R124" s="37">
        <v>0</v>
      </c>
      <c r="S124" s="37">
        <v>317085</v>
      </c>
      <c r="T124" s="43"/>
      <c r="U124" s="43"/>
      <c r="V124" s="44">
        <f t="shared" si="21"/>
        <v>317085</v>
      </c>
    </row>
    <row r="125" spans="1:22" ht="15" customHeight="1">
      <c r="A125" s="52"/>
      <c r="B125" s="75" t="s">
        <v>52</v>
      </c>
      <c r="C125" s="36"/>
      <c r="D125" s="36"/>
      <c r="E125" s="36" t="s">
        <v>53</v>
      </c>
      <c r="F125" s="38">
        <v>900</v>
      </c>
      <c r="G125" s="53">
        <v>1000</v>
      </c>
      <c r="H125" s="40">
        <f>IF(F125&gt;0,G125/F125*100,"")</f>
        <v>111.11111111111111</v>
      </c>
      <c r="I125" s="40" t="e">
        <f>F125/F168</f>
        <v>#REF!</v>
      </c>
      <c r="J125" s="37"/>
      <c r="K125" s="37">
        <v>0</v>
      </c>
      <c r="L125" s="37">
        <v>500</v>
      </c>
      <c r="M125" s="37">
        <v>500</v>
      </c>
      <c r="N125" s="37">
        <v>0</v>
      </c>
      <c r="O125" s="37">
        <v>0</v>
      </c>
      <c r="P125" s="37">
        <v>50</v>
      </c>
      <c r="Q125" s="37">
        <v>0</v>
      </c>
      <c r="R125" s="37">
        <v>0</v>
      </c>
      <c r="S125" s="37">
        <v>500</v>
      </c>
      <c r="T125" s="43"/>
      <c r="U125" s="43"/>
      <c r="V125" s="44">
        <f t="shared" si="21"/>
        <v>500</v>
      </c>
    </row>
    <row r="126" spans="1:22" ht="15.75" customHeight="1">
      <c r="A126" s="52"/>
      <c r="B126" s="75" t="s">
        <v>54</v>
      </c>
      <c r="C126" s="36"/>
      <c r="D126" s="36"/>
      <c r="E126" s="36" t="s">
        <v>55</v>
      </c>
      <c r="F126" s="38"/>
      <c r="G126" s="53"/>
      <c r="H126" s="40"/>
      <c r="I126" s="40"/>
      <c r="J126" s="37"/>
      <c r="K126" s="37"/>
      <c r="L126" s="37"/>
      <c r="M126" s="37"/>
      <c r="N126" s="37"/>
      <c r="O126" s="37"/>
      <c r="P126" s="37">
        <v>150</v>
      </c>
      <c r="Q126" s="37">
        <v>0</v>
      </c>
      <c r="R126" s="37">
        <v>0</v>
      </c>
      <c r="S126" s="37">
        <v>0</v>
      </c>
      <c r="T126" s="43"/>
      <c r="U126" s="43"/>
      <c r="V126" s="44">
        <f t="shared" si="21"/>
        <v>0</v>
      </c>
    </row>
    <row r="127" spans="1:22" ht="24" customHeight="1">
      <c r="A127" s="52"/>
      <c r="B127" s="75" t="s">
        <v>151</v>
      </c>
      <c r="C127" s="35"/>
      <c r="D127" s="88"/>
      <c r="E127" s="89">
        <v>2130</v>
      </c>
      <c r="F127" s="77" t="e">
        <f>#REF!</f>
        <v>#REF!</v>
      </c>
      <c r="G127" s="78" t="e">
        <f>#REF!</f>
        <v>#REF!</v>
      </c>
      <c r="H127" s="79" t="e">
        <f>IF(F127&gt;0,G127/F127*100,"")</f>
        <v>#REF!</v>
      </c>
      <c r="I127" s="79" t="e">
        <f>F127/F168</f>
        <v>#REF!</v>
      </c>
      <c r="J127" s="81"/>
      <c r="K127" s="81" t="e">
        <f>#REF!</f>
        <v>#REF!</v>
      </c>
      <c r="L127" s="81" t="e">
        <f>#REF!</f>
        <v>#REF!</v>
      </c>
      <c r="M127" s="81" t="e">
        <f>#REF!</f>
        <v>#REF!</v>
      </c>
      <c r="N127" s="81" t="e">
        <f>#REF!</f>
        <v>#REF!</v>
      </c>
      <c r="O127" s="81" t="e">
        <f>#REF!</f>
        <v>#REF!</v>
      </c>
      <c r="P127" s="82" t="e">
        <f>#REF!</f>
        <v>#REF!</v>
      </c>
      <c r="Q127" s="82" t="e">
        <f>#REF!</f>
        <v>#REF!</v>
      </c>
      <c r="R127" s="82" t="e">
        <f>#REF!</f>
        <v>#REF!</v>
      </c>
      <c r="S127" s="50">
        <v>490000</v>
      </c>
      <c r="T127" s="83"/>
      <c r="U127" s="83"/>
      <c r="V127" s="44">
        <f t="shared" si="21"/>
        <v>490000</v>
      </c>
    </row>
    <row r="128" spans="1:22" s="51" customFormat="1" ht="18" customHeight="1">
      <c r="A128" s="33" t="s">
        <v>74</v>
      </c>
      <c r="B128" s="42" t="s">
        <v>152</v>
      </c>
      <c r="C128" s="45"/>
      <c r="D128" s="45" t="s">
        <v>153</v>
      </c>
      <c r="E128" s="45"/>
      <c r="F128" s="46"/>
      <c r="G128" s="39"/>
      <c r="H128" s="47"/>
      <c r="I128" s="47"/>
      <c r="J128" s="49"/>
      <c r="K128" s="49"/>
      <c r="L128" s="49"/>
      <c r="M128" s="49"/>
      <c r="N128" s="49"/>
      <c r="O128" s="49"/>
      <c r="P128" s="49"/>
      <c r="Q128" s="49"/>
      <c r="R128" s="49"/>
      <c r="S128" s="49">
        <f>S129+S130</f>
        <v>28447</v>
      </c>
      <c r="T128" s="49">
        <f>T129+T130</f>
        <v>0</v>
      </c>
      <c r="U128" s="49">
        <f>U129+U130</f>
        <v>0</v>
      </c>
      <c r="V128" s="44">
        <f t="shared" si="21"/>
        <v>28447</v>
      </c>
    </row>
    <row r="129" spans="1:22" ht="24" customHeight="1">
      <c r="A129" s="52"/>
      <c r="B129" s="75" t="s">
        <v>146</v>
      </c>
      <c r="C129" s="36"/>
      <c r="D129" s="36"/>
      <c r="E129" s="36" t="s">
        <v>147</v>
      </c>
      <c r="F129" s="38"/>
      <c r="G129" s="53"/>
      <c r="H129" s="40"/>
      <c r="I129" s="40"/>
      <c r="J129" s="37"/>
      <c r="K129" s="37"/>
      <c r="L129" s="37"/>
      <c r="M129" s="37"/>
      <c r="N129" s="37"/>
      <c r="O129" s="37"/>
      <c r="P129" s="37"/>
      <c r="Q129" s="37"/>
      <c r="R129" s="37"/>
      <c r="S129" s="37">
        <v>700</v>
      </c>
      <c r="T129" s="43"/>
      <c r="U129" s="43"/>
      <c r="V129" s="44">
        <f t="shared" si="21"/>
        <v>700</v>
      </c>
    </row>
    <row r="130" spans="1:22" ht="24.75" customHeight="1">
      <c r="A130" s="52"/>
      <c r="B130" s="42" t="s">
        <v>148</v>
      </c>
      <c r="C130" s="36"/>
      <c r="D130" s="36"/>
      <c r="E130" s="36" t="s">
        <v>154</v>
      </c>
      <c r="F130" s="37"/>
      <c r="G130" s="37"/>
      <c r="H130" s="40"/>
      <c r="I130" s="40"/>
      <c r="J130" s="37"/>
      <c r="K130" s="37"/>
      <c r="L130" s="37"/>
      <c r="M130" s="37"/>
      <c r="N130" s="37"/>
      <c r="O130" s="37"/>
      <c r="P130" s="37"/>
      <c r="Q130" s="37"/>
      <c r="R130" s="37"/>
      <c r="S130" s="37">
        <v>27747</v>
      </c>
      <c r="T130" s="43"/>
      <c r="U130" s="43"/>
      <c r="V130" s="44">
        <f t="shared" si="21"/>
        <v>27747</v>
      </c>
    </row>
    <row r="131" spans="1:22" s="51" customFormat="1" ht="16.5" customHeight="1">
      <c r="A131" s="33" t="s">
        <v>114</v>
      </c>
      <c r="B131" s="42" t="s">
        <v>155</v>
      </c>
      <c r="C131" s="45"/>
      <c r="D131" s="45" t="s">
        <v>156</v>
      </c>
      <c r="E131" s="45"/>
      <c r="F131" s="49"/>
      <c r="G131" s="49"/>
      <c r="H131" s="47"/>
      <c r="I131" s="47"/>
      <c r="J131" s="49"/>
      <c r="K131" s="49"/>
      <c r="L131" s="49"/>
      <c r="M131" s="49"/>
      <c r="N131" s="49"/>
      <c r="O131" s="49"/>
      <c r="P131" s="49"/>
      <c r="Q131" s="49"/>
      <c r="R131" s="49"/>
      <c r="S131" s="49">
        <f>S132</f>
        <v>0</v>
      </c>
      <c r="T131" s="49">
        <f>T132</f>
        <v>150</v>
      </c>
      <c r="U131" s="49">
        <f>U132</f>
        <v>0</v>
      </c>
      <c r="V131" s="44">
        <f t="shared" si="21"/>
        <v>150</v>
      </c>
    </row>
    <row r="132" spans="1:22" ht="15.75" customHeight="1">
      <c r="A132" s="52"/>
      <c r="B132" s="75" t="s">
        <v>52</v>
      </c>
      <c r="C132" s="36"/>
      <c r="D132" s="36"/>
      <c r="E132" s="36" t="s">
        <v>53</v>
      </c>
      <c r="F132" s="37"/>
      <c r="G132" s="37"/>
      <c r="H132" s="40"/>
      <c r="I132" s="40"/>
      <c r="J132" s="37"/>
      <c r="K132" s="37"/>
      <c r="L132" s="37"/>
      <c r="M132" s="37"/>
      <c r="N132" s="37"/>
      <c r="O132" s="37"/>
      <c r="P132" s="37"/>
      <c r="Q132" s="37"/>
      <c r="R132" s="37"/>
      <c r="S132" s="37">
        <v>0</v>
      </c>
      <c r="T132" s="43">
        <v>150</v>
      </c>
      <c r="U132" s="43"/>
      <c r="V132" s="44">
        <f t="shared" si="21"/>
        <v>150</v>
      </c>
    </row>
    <row r="133" spans="1:22" ht="25.5" customHeight="1">
      <c r="A133" s="22">
        <v>10</v>
      </c>
      <c r="B133" s="54" t="s">
        <v>157</v>
      </c>
      <c r="C133" s="24" t="s">
        <v>158</v>
      </c>
      <c r="D133" s="24"/>
      <c r="E133" s="24"/>
      <c r="F133" s="23"/>
      <c r="G133" s="23"/>
      <c r="H133" s="55"/>
      <c r="I133" s="55"/>
      <c r="J133" s="23"/>
      <c r="K133" s="23"/>
      <c r="L133" s="23"/>
      <c r="M133" s="23"/>
      <c r="N133" s="23"/>
      <c r="O133" s="23"/>
      <c r="P133" s="23"/>
      <c r="Q133" s="23"/>
      <c r="R133" s="23"/>
      <c r="S133" s="23">
        <f>S134+S138</f>
        <v>649014</v>
      </c>
      <c r="T133" s="23">
        <f>T134+T138</f>
        <v>0</v>
      </c>
      <c r="U133" s="23">
        <f>U134+U138</f>
        <v>0</v>
      </c>
      <c r="V133" s="95">
        <f t="shared" si="21"/>
        <v>649014</v>
      </c>
    </row>
    <row r="134" spans="1:22" s="51" customFormat="1" ht="15.75" customHeight="1">
      <c r="A134" s="33" t="s">
        <v>26</v>
      </c>
      <c r="B134" s="42" t="s">
        <v>159</v>
      </c>
      <c r="C134" s="45"/>
      <c r="D134" s="45" t="s">
        <v>160</v>
      </c>
      <c r="E134" s="45"/>
      <c r="F134" s="49">
        <f>F135</f>
        <v>19873</v>
      </c>
      <c r="G134" s="49">
        <f>G135</f>
        <v>20000</v>
      </c>
      <c r="H134" s="47">
        <f>G134/F134*100</f>
        <v>100.63905801841695</v>
      </c>
      <c r="I134" s="47" t="e">
        <f>F134/F175</f>
        <v>#DIV/0!</v>
      </c>
      <c r="J134" s="49"/>
      <c r="K134" s="49">
        <f aca="true" t="shared" si="22" ref="K134:R134">K135</f>
        <v>0</v>
      </c>
      <c r="L134" s="49">
        <f t="shared" si="22"/>
        <v>0</v>
      </c>
      <c r="M134" s="49">
        <f t="shared" si="22"/>
        <v>12412</v>
      </c>
      <c r="N134" s="49">
        <f t="shared" si="22"/>
        <v>0</v>
      </c>
      <c r="O134" s="49">
        <f t="shared" si="22"/>
        <v>0</v>
      </c>
      <c r="P134" s="50">
        <f t="shared" si="22"/>
        <v>12412</v>
      </c>
      <c r="Q134" s="50">
        <f t="shared" si="22"/>
        <v>0</v>
      </c>
      <c r="R134" s="50">
        <f t="shared" si="22"/>
        <v>0</v>
      </c>
      <c r="S134" s="50">
        <f>S135+S136+S137</f>
        <v>494004</v>
      </c>
      <c r="T134" s="50">
        <f>T135+T136+T137</f>
        <v>0</v>
      </c>
      <c r="U134" s="50">
        <f>U135+U136+U137</f>
        <v>0</v>
      </c>
      <c r="V134" s="44">
        <f t="shared" si="21"/>
        <v>494004</v>
      </c>
    </row>
    <row r="135" spans="1:22" ht="17.25" customHeight="1">
      <c r="A135" s="52"/>
      <c r="B135" s="75" t="s">
        <v>54</v>
      </c>
      <c r="C135" s="36"/>
      <c r="D135" s="36"/>
      <c r="E135" s="36" t="s">
        <v>55</v>
      </c>
      <c r="F135" s="37">
        <v>19873</v>
      </c>
      <c r="G135" s="37">
        <v>20000</v>
      </c>
      <c r="H135" s="40">
        <f>G135/F135*100</f>
        <v>100.63905801841695</v>
      </c>
      <c r="I135" s="40" t="e">
        <f>F135/F175</f>
        <v>#DIV/0!</v>
      </c>
      <c r="J135" s="37"/>
      <c r="K135" s="37">
        <v>0</v>
      </c>
      <c r="L135" s="37">
        <v>0</v>
      </c>
      <c r="M135" s="37">
        <v>12412</v>
      </c>
      <c r="N135" s="37">
        <v>0</v>
      </c>
      <c r="O135" s="37">
        <v>0</v>
      </c>
      <c r="P135" s="37">
        <v>12412</v>
      </c>
      <c r="Q135" s="37">
        <v>0</v>
      </c>
      <c r="R135" s="37">
        <v>0</v>
      </c>
      <c r="S135" s="37">
        <v>20491</v>
      </c>
      <c r="T135" s="43"/>
      <c r="U135" s="43"/>
      <c r="V135" s="44">
        <f t="shared" si="21"/>
        <v>20491</v>
      </c>
    </row>
    <row r="136" spans="1:22" ht="23.25" customHeight="1">
      <c r="A136" s="52"/>
      <c r="B136" s="87" t="s">
        <v>161</v>
      </c>
      <c r="C136" s="36"/>
      <c r="D136" s="36"/>
      <c r="E136" s="36" t="s">
        <v>162</v>
      </c>
      <c r="F136" s="37"/>
      <c r="G136" s="37"/>
      <c r="H136" s="40"/>
      <c r="I136" s="40"/>
      <c r="J136" s="37"/>
      <c r="K136" s="37"/>
      <c r="L136" s="37"/>
      <c r="M136" s="37"/>
      <c r="N136" s="37"/>
      <c r="O136" s="37"/>
      <c r="P136" s="37"/>
      <c r="Q136" s="37"/>
      <c r="R136" s="37"/>
      <c r="S136" s="37">
        <v>54115</v>
      </c>
      <c r="T136" s="43">
        <v>0</v>
      </c>
      <c r="U136" s="43"/>
      <c r="V136" s="44">
        <f t="shared" si="21"/>
        <v>54115</v>
      </c>
    </row>
    <row r="137" spans="1:22" ht="21.75" customHeight="1">
      <c r="A137" s="52"/>
      <c r="B137" s="87" t="s">
        <v>163</v>
      </c>
      <c r="C137" s="36"/>
      <c r="D137" s="36"/>
      <c r="E137" s="36" t="s">
        <v>164</v>
      </c>
      <c r="F137" s="37"/>
      <c r="G137" s="37"/>
      <c r="H137" s="40"/>
      <c r="I137" s="40"/>
      <c r="J137" s="37"/>
      <c r="K137" s="37"/>
      <c r="L137" s="37"/>
      <c r="M137" s="37"/>
      <c r="N137" s="37"/>
      <c r="O137" s="37"/>
      <c r="P137" s="37"/>
      <c r="Q137" s="37"/>
      <c r="R137" s="37"/>
      <c r="S137" s="37">
        <v>419398</v>
      </c>
      <c r="T137" s="43">
        <v>0</v>
      </c>
      <c r="U137" s="43"/>
      <c r="V137" s="44">
        <f t="shared" si="21"/>
        <v>419398</v>
      </c>
    </row>
    <row r="138" spans="1:22" s="51" customFormat="1" ht="18" customHeight="1">
      <c r="A138" s="33" t="s">
        <v>29</v>
      </c>
      <c r="B138" s="116" t="s">
        <v>165</v>
      </c>
      <c r="C138" s="45"/>
      <c r="D138" s="45" t="s">
        <v>166</v>
      </c>
      <c r="E138" s="45"/>
      <c r="F138" s="49" t="e">
        <f>#REF!</f>
        <v>#REF!</v>
      </c>
      <c r="G138" s="49" t="e">
        <f>#REF!</f>
        <v>#REF!</v>
      </c>
      <c r="H138" s="47" t="e">
        <f>IF(F138&gt;0,G138/F138*100,"")</f>
        <v>#REF!</v>
      </c>
      <c r="I138" s="47" t="e">
        <f>F138/F175</f>
        <v>#REF!</v>
      </c>
      <c r="J138" s="49"/>
      <c r="K138" s="49" t="e">
        <f>#REF!</f>
        <v>#REF!</v>
      </c>
      <c r="L138" s="49" t="e">
        <f>#REF!</f>
        <v>#REF!</v>
      </c>
      <c r="M138" s="49" t="e">
        <f>#REF!+M141</f>
        <v>#REF!</v>
      </c>
      <c r="N138" s="49" t="e">
        <f>#REF!+N141</f>
        <v>#REF!</v>
      </c>
      <c r="O138" s="49" t="e">
        <f>#REF!+O141</f>
        <v>#REF!</v>
      </c>
      <c r="P138" s="50" t="e">
        <f>#REF!+P141</f>
        <v>#REF!</v>
      </c>
      <c r="Q138" s="50" t="e">
        <f>#REF!+Q141</f>
        <v>#REF!</v>
      </c>
      <c r="R138" s="50" t="e">
        <f>#REF!+R141</f>
        <v>#REF!</v>
      </c>
      <c r="S138" s="50">
        <f>S139+S140+S141+S142</f>
        <v>155010</v>
      </c>
      <c r="T138" s="50">
        <v>0</v>
      </c>
      <c r="U138" s="50">
        <f>U139+U140+U141+U142</f>
        <v>0</v>
      </c>
      <c r="V138" s="44">
        <f t="shared" si="21"/>
        <v>155010</v>
      </c>
    </row>
    <row r="139" spans="1:22" ht="25.5" customHeight="1">
      <c r="A139" s="86"/>
      <c r="B139" s="75" t="s">
        <v>48</v>
      </c>
      <c r="C139" s="76"/>
      <c r="D139" s="45"/>
      <c r="E139" s="45" t="s">
        <v>49</v>
      </c>
      <c r="F139" s="49"/>
      <c r="G139" s="49"/>
      <c r="H139" s="47"/>
      <c r="I139" s="47"/>
      <c r="J139" s="49"/>
      <c r="K139" s="49"/>
      <c r="L139" s="49"/>
      <c r="M139" s="49"/>
      <c r="N139" s="49"/>
      <c r="O139" s="49"/>
      <c r="P139" s="50"/>
      <c r="Q139" s="50"/>
      <c r="R139" s="50"/>
      <c r="S139" s="50">
        <v>0</v>
      </c>
      <c r="T139" s="83"/>
      <c r="U139" s="83"/>
      <c r="V139" s="44">
        <f aca="true" t="shared" si="23" ref="V139:V170">S139+T139-U139</f>
        <v>0</v>
      </c>
    </row>
    <row r="140" spans="1:22" ht="16.5" customHeight="1">
      <c r="A140" s="52"/>
      <c r="B140" s="75" t="s">
        <v>52</v>
      </c>
      <c r="C140" s="36"/>
      <c r="D140" s="36"/>
      <c r="E140" s="36" t="s">
        <v>53</v>
      </c>
      <c r="F140" s="37"/>
      <c r="G140" s="37"/>
      <c r="H140" s="40"/>
      <c r="I140" s="40"/>
      <c r="J140" s="37"/>
      <c r="K140" s="37"/>
      <c r="L140" s="37"/>
      <c r="M140" s="37"/>
      <c r="N140" s="37"/>
      <c r="O140" s="37"/>
      <c r="P140" s="37"/>
      <c r="Q140" s="37"/>
      <c r="R140" s="37"/>
      <c r="S140" s="37">
        <v>180</v>
      </c>
      <c r="T140" s="43"/>
      <c r="U140" s="43"/>
      <c r="V140" s="44">
        <f t="shared" si="23"/>
        <v>180</v>
      </c>
    </row>
    <row r="141" spans="1:22" ht="16.5" customHeight="1">
      <c r="A141" s="52"/>
      <c r="B141" s="75" t="s">
        <v>54</v>
      </c>
      <c r="C141" s="36"/>
      <c r="D141" s="36"/>
      <c r="E141" s="36" t="s">
        <v>55</v>
      </c>
      <c r="F141" s="37"/>
      <c r="G141" s="37"/>
      <c r="H141" s="40"/>
      <c r="I141" s="40"/>
      <c r="J141" s="37"/>
      <c r="K141" s="37"/>
      <c r="L141" s="37"/>
      <c r="M141" s="37">
        <v>30</v>
      </c>
      <c r="N141" s="37">
        <v>0</v>
      </c>
      <c r="O141" s="37">
        <v>0</v>
      </c>
      <c r="P141" s="37">
        <v>30</v>
      </c>
      <c r="Q141" s="37">
        <v>0</v>
      </c>
      <c r="R141" s="37">
        <v>0</v>
      </c>
      <c r="S141" s="37">
        <v>14030</v>
      </c>
      <c r="T141" s="43"/>
      <c r="U141" s="43"/>
      <c r="V141" s="44">
        <f t="shared" si="23"/>
        <v>14030</v>
      </c>
    </row>
    <row r="142" spans="1:23" ht="27.75" customHeight="1">
      <c r="A142" s="86"/>
      <c r="B142" s="87" t="s">
        <v>161</v>
      </c>
      <c r="C142" s="89"/>
      <c r="D142" s="89"/>
      <c r="E142" s="89">
        <v>2690</v>
      </c>
      <c r="F142" s="46"/>
      <c r="G142" s="39">
        <v>71700</v>
      </c>
      <c r="H142" s="47"/>
      <c r="I142" s="48"/>
      <c r="J142" s="49"/>
      <c r="K142" s="49">
        <v>0</v>
      </c>
      <c r="L142" s="49">
        <v>0</v>
      </c>
      <c r="M142" s="37">
        <v>48720</v>
      </c>
      <c r="N142" s="37">
        <v>0</v>
      </c>
      <c r="O142" s="37">
        <v>0</v>
      </c>
      <c r="P142" s="37">
        <v>15000</v>
      </c>
      <c r="Q142" s="37">
        <v>103519</v>
      </c>
      <c r="R142" s="37">
        <v>0</v>
      </c>
      <c r="S142" s="37">
        <v>140800</v>
      </c>
      <c r="T142" s="43"/>
      <c r="U142" s="43"/>
      <c r="V142" s="44">
        <f t="shared" si="23"/>
        <v>140800</v>
      </c>
      <c r="W142" s="117"/>
    </row>
    <row r="143" spans="1:22" ht="27.75" customHeight="1">
      <c r="A143" s="22" t="s">
        <v>167</v>
      </c>
      <c r="B143" s="118" t="s">
        <v>168</v>
      </c>
      <c r="C143" s="24" t="s">
        <v>169</v>
      </c>
      <c r="D143" s="92"/>
      <c r="E143" s="92"/>
      <c r="F143" s="31" t="e">
        <f>F144+F149+F152</f>
        <v>#REF!</v>
      </c>
      <c r="G143" s="23" t="e">
        <f>G144+G149+G152</f>
        <v>#REF!</v>
      </c>
      <c r="H143" s="55" t="e">
        <f>IF(F143&gt;0,G143/F143*100,"")</f>
        <v>#REF!</v>
      </c>
      <c r="I143" s="55" t="e">
        <f>F143/F168</f>
        <v>#REF!</v>
      </c>
      <c r="J143" s="23"/>
      <c r="K143" s="23" t="e">
        <f aca="true" t="shared" si="24" ref="K143:R143">K144+K149+K152</f>
        <v>#REF!</v>
      </c>
      <c r="L143" s="23" t="e">
        <f t="shared" si="24"/>
        <v>#REF!</v>
      </c>
      <c r="M143" s="23" t="e">
        <f t="shared" si="24"/>
        <v>#REF!</v>
      </c>
      <c r="N143" s="23" t="e">
        <f t="shared" si="24"/>
        <v>#REF!</v>
      </c>
      <c r="O143" s="23" t="e">
        <f t="shared" si="24"/>
        <v>#REF!</v>
      </c>
      <c r="P143" s="56" t="e">
        <f t="shared" si="24"/>
        <v>#REF!</v>
      </c>
      <c r="Q143" s="56" t="e">
        <f t="shared" si="24"/>
        <v>#REF!</v>
      </c>
      <c r="R143" s="56" t="e">
        <f t="shared" si="24"/>
        <v>#REF!</v>
      </c>
      <c r="S143" s="56">
        <f>S144+S149+S152+S158</f>
        <v>1127498</v>
      </c>
      <c r="T143" s="56">
        <f>T144+T149+T152+T158</f>
        <v>50000</v>
      </c>
      <c r="U143" s="56">
        <f>U144+U149+U152+U158</f>
        <v>0</v>
      </c>
      <c r="V143" s="95">
        <f t="shared" si="23"/>
        <v>1177498</v>
      </c>
    </row>
    <row r="144" spans="1:22" s="51" customFormat="1" ht="26.25" customHeight="1">
      <c r="A144" s="33" t="s">
        <v>26</v>
      </c>
      <c r="B144" s="42" t="s">
        <v>170</v>
      </c>
      <c r="C144" s="45"/>
      <c r="D144" s="45" t="s">
        <v>171</v>
      </c>
      <c r="E144" s="45"/>
      <c r="F144" s="49">
        <f>F145+F146+F147</f>
        <v>84355</v>
      </c>
      <c r="G144" s="49" t="e">
        <f>G145+G146+G147+#REF!</f>
        <v>#REF!</v>
      </c>
      <c r="H144" s="47" t="e">
        <f>IF(F144&gt;0,G144/F144*100,"")</f>
        <v>#REF!</v>
      </c>
      <c r="I144" s="47" t="e">
        <f>F144/F168</f>
        <v>#REF!</v>
      </c>
      <c r="J144" s="49"/>
      <c r="K144" s="49" t="e">
        <f>K145+K146+K147+#REF!</f>
        <v>#REF!</v>
      </c>
      <c r="L144" s="49" t="e">
        <f>L145+L146+L147+#REF!</f>
        <v>#REF!</v>
      </c>
      <c r="M144" s="49" t="e">
        <f>#REF!+M145+M146+M147+#REF!+M148</f>
        <v>#REF!</v>
      </c>
      <c r="N144" s="49" t="e">
        <f>#REF!+N145+N146+#REF!+N147+N148</f>
        <v>#REF!</v>
      </c>
      <c r="O144" s="49" t="e">
        <f>#REF!+O145+O146+#REF!+O147+O148</f>
        <v>#REF!</v>
      </c>
      <c r="P144" s="50">
        <f aca="true" t="shared" si="25" ref="P144:U144">P145+P146+P147+P148</f>
        <v>67100</v>
      </c>
      <c r="Q144" s="50">
        <f t="shared" si="25"/>
        <v>0</v>
      </c>
      <c r="R144" s="50">
        <f t="shared" si="25"/>
        <v>0</v>
      </c>
      <c r="S144" s="50">
        <f t="shared" si="25"/>
        <v>86541</v>
      </c>
      <c r="T144" s="50">
        <f t="shared" si="25"/>
        <v>0</v>
      </c>
      <c r="U144" s="50">
        <f t="shared" si="25"/>
        <v>0</v>
      </c>
      <c r="V144" s="44">
        <f t="shared" si="23"/>
        <v>86541</v>
      </c>
    </row>
    <row r="145" spans="1:22" ht="22.5" customHeight="1">
      <c r="A145" s="52"/>
      <c r="B145" s="75" t="s">
        <v>172</v>
      </c>
      <c r="C145" s="36"/>
      <c r="D145" s="36"/>
      <c r="E145" s="36" t="s">
        <v>147</v>
      </c>
      <c r="F145" s="37">
        <v>8195</v>
      </c>
      <c r="G145" s="37">
        <v>33775</v>
      </c>
      <c r="H145" s="40">
        <f>IF(F145&gt;0,G145/F145*100,"")</f>
        <v>412.1415497254423</v>
      </c>
      <c r="I145" s="40" t="e">
        <f>F145/F168</f>
        <v>#REF!</v>
      </c>
      <c r="J145" s="37"/>
      <c r="K145" s="37">
        <v>0</v>
      </c>
      <c r="L145" s="37">
        <v>0</v>
      </c>
      <c r="M145" s="37">
        <v>20900</v>
      </c>
      <c r="N145" s="37">
        <v>0</v>
      </c>
      <c r="O145" s="37">
        <v>0</v>
      </c>
      <c r="P145" s="37">
        <v>18000</v>
      </c>
      <c r="Q145" s="37">
        <v>0</v>
      </c>
      <c r="R145" s="37">
        <v>0</v>
      </c>
      <c r="S145" s="37">
        <v>42700</v>
      </c>
      <c r="T145" s="43"/>
      <c r="U145" s="43"/>
      <c r="V145" s="44">
        <f t="shared" si="23"/>
        <v>42700</v>
      </c>
    </row>
    <row r="146" spans="1:22" ht="24" customHeight="1">
      <c r="A146" s="52"/>
      <c r="B146" s="87" t="s">
        <v>125</v>
      </c>
      <c r="C146" s="36"/>
      <c r="D146" s="36"/>
      <c r="E146" s="36" t="s">
        <v>49</v>
      </c>
      <c r="F146" s="37">
        <v>60000</v>
      </c>
      <c r="G146" s="37">
        <v>66000</v>
      </c>
      <c r="H146" s="40">
        <f>IF(F146&gt;0,G146/F146*100,"")</f>
        <v>110.00000000000001</v>
      </c>
      <c r="I146" s="40" t="e">
        <f>F146/F168</f>
        <v>#REF!</v>
      </c>
      <c r="J146" s="37"/>
      <c r="K146" s="37">
        <v>0</v>
      </c>
      <c r="L146" s="37">
        <v>0</v>
      </c>
      <c r="M146" s="37">
        <v>55000</v>
      </c>
      <c r="N146" s="37">
        <v>0</v>
      </c>
      <c r="O146" s="37">
        <v>0</v>
      </c>
      <c r="P146" s="37">
        <v>49000</v>
      </c>
      <c r="Q146" s="37">
        <v>0</v>
      </c>
      <c r="R146" s="37">
        <v>0</v>
      </c>
      <c r="S146" s="37">
        <v>28641</v>
      </c>
      <c r="T146" s="43"/>
      <c r="U146" s="43"/>
      <c r="V146" s="44">
        <f t="shared" si="23"/>
        <v>28641</v>
      </c>
    </row>
    <row r="147" spans="1:22" ht="15" customHeight="1">
      <c r="A147" s="52"/>
      <c r="B147" s="75" t="s">
        <v>52</v>
      </c>
      <c r="C147" s="36"/>
      <c r="D147" s="36"/>
      <c r="E147" s="36" t="s">
        <v>53</v>
      </c>
      <c r="F147" s="37">
        <v>16160</v>
      </c>
      <c r="G147" s="37">
        <v>16748</v>
      </c>
      <c r="H147" s="40">
        <f>IF(F147&gt;0,G147/F147*100,"")</f>
        <v>103.63861386138613</v>
      </c>
      <c r="I147" s="40" t="e">
        <f>F147/F168</f>
        <v>#REF!</v>
      </c>
      <c r="J147" s="37"/>
      <c r="K147" s="37">
        <v>0</v>
      </c>
      <c r="L147" s="37">
        <v>0</v>
      </c>
      <c r="M147" s="37">
        <v>700</v>
      </c>
      <c r="N147" s="37">
        <v>0</v>
      </c>
      <c r="O147" s="37">
        <v>0</v>
      </c>
      <c r="P147" s="37">
        <v>100</v>
      </c>
      <c r="Q147" s="37">
        <v>0</v>
      </c>
      <c r="R147" s="37">
        <v>0</v>
      </c>
      <c r="S147" s="37">
        <v>200</v>
      </c>
      <c r="T147" s="43"/>
      <c r="U147" s="43"/>
      <c r="V147" s="44">
        <f t="shared" si="23"/>
        <v>200</v>
      </c>
    </row>
    <row r="148" spans="1:22" ht="14.25" customHeight="1">
      <c r="A148" s="52"/>
      <c r="B148" s="75" t="s">
        <v>54</v>
      </c>
      <c r="C148" s="36"/>
      <c r="D148" s="36"/>
      <c r="E148" s="36" t="s">
        <v>55</v>
      </c>
      <c r="F148" s="37"/>
      <c r="G148" s="37"/>
      <c r="H148" s="40"/>
      <c r="I148" s="40"/>
      <c r="J148" s="37"/>
      <c r="K148" s="37"/>
      <c r="L148" s="37"/>
      <c r="M148" s="37">
        <v>200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15000</v>
      </c>
      <c r="T148" s="43"/>
      <c r="U148" s="43"/>
      <c r="V148" s="44">
        <f t="shared" si="23"/>
        <v>15000</v>
      </c>
    </row>
    <row r="149" spans="1:22" s="51" customFormat="1" ht="24.75" customHeight="1">
      <c r="A149" s="33" t="s">
        <v>29</v>
      </c>
      <c r="B149" s="42" t="s">
        <v>173</v>
      </c>
      <c r="C149" s="45"/>
      <c r="D149" s="45" t="s">
        <v>174</v>
      </c>
      <c r="E149" s="45"/>
      <c r="F149" s="49" t="e">
        <f>#REF!+F150+#REF!+F151</f>
        <v>#REF!</v>
      </c>
      <c r="G149" s="49" t="e">
        <f>#REF!+G150+#REF!+G151</f>
        <v>#REF!</v>
      </c>
      <c r="H149" s="47" t="e">
        <f aca="true" t="shared" si="26" ref="H149:H154">IF(F149&gt;0,G149/F149*100,"")</f>
        <v>#REF!</v>
      </c>
      <c r="I149" s="47" t="e">
        <f>F149/F168</f>
        <v>#REF!</v>
      </c>
      <c r="J149" s="49"/>
      <c r="K149" s="49" t="e">
        <f>K150+#REF!+K151</f>
        <v>#REF!</v>
      </c>
      <c r="L149" s="49" t="e">
        <f>L150+#REF!+L151</f>
        <v>#REF!</v>
      </c>
      <c r="M149" s="49" t="e">
        <f>M150+#REF!+M151</f>
        <v>#REF!</v>
      </c>
      <c r="N149" s="49" t="e">
        <f>N150+#REF!+N151</f>
        <v>#REF!</v>
      </c>
      <c r="O149" s="49" t="e">
        <f>O150+#REF!+O151</f>
        <v>#REF!</v>
      </c>
      <c r="P149" s="50">
        <f aca="true" t="shared" si="27" ref="P149:U149">P150+P151</f>
        <v>22890</v>
      </c>
      <c r="Q149" s="50">
        <f t="shared" si="27"/>
        <v>0</v>
      </c>
      <c r="R149" s="50">
        <f t="shared" si="27"/>
        <v>904</v>
      </c>
      <c r="S149" s="50">
        <f t="shared" si="27"/>
        <v>9346</v>
      </c>
      <c r="T149" s="50">
        <f t="shared" si="27"/>
        <v>0</v>
      </c>
      <c r="U149" s="50">
        <f t="shared" si="27"/>
        <v>0</v>
      </c>
      <c r="V149" s="44">
        <f t="shared" si="23"/>
        <v>9346</v>
      </c>
    </row>
    <row r="150" spans="1:22" ht="23.25" customHeight="1">
      <c r="A150" s="52"/>
      <c r="B150" s="87" t="s">
        <v>125</v>
      </c>
      <c r="C150" s="36"/>
      <c r="D150" s="36"/>
      <c r="E150" s="36" t="s">
        <v>49</v>
      </c>
      <c r="F150" s="37">
        <v>19580</v>
      </c>
      <c r="G150" s="37">
        <v>23550</v>
      </c>
      <c r="H150" s="40">
        <f t="shared" si="26"/>
        <v>120.27579162410622</v>
      </c>
      <c r="I150" s="40" t="e">
        <f>F150/F168</f>
        <v>#REF!</v>
      </c>
      <c r="J150" s="37"/>
      <c r="K150" s="37">
        <v>0</v>
      </c>
      <c r="L150" s="37">
        <v>0</v>
      </c>
      <c r="M150" s="37">
        <v>22560</v>
      </c>
      <c r="N150" s="37">
        <v>0</v>
      </c>
      <c r="O150" s="37">
        <v>0</v>
      </c>
      <c r="P150" s="37">
        <v>22740</v>
      </c>
      <c r="Q150" s="37">
        <v>0</v>
      </c>
      <c r="R150" s="37">
        <v>760</v>
      </c>
      <c r="S150" s="37">
        <v>9246</v>
      </c>
      <c r="T150" s="43"/>
      <c r="U150" s="43"/>
      <c r="V150" s="44">
        <f t="shared" si="23"/>
        <v>9246</v>
      </c>
    </row>
    <row r="151" spans="1:22" ht="16.5" customHeight="1">
      <c r="A151" s="52"/>
      <c r="B151" s="75" t="s">
        <v>82</v>
      </c>
      <c r="C151" s="36"/>
      <c r="D151" s="36"/>
      <c r="E151" s="36" t="s">
        <v>83</v>
      </c>
      <c r="F151" s="37">
        <v>1563</v>
      </c>
      <c r="G151" s="37">
        <v>1863</v>
      </c>
      <c r="H151" s="40">
        <f t="shared" si="26"/>
        <v>119.19385796545106</v>
      </c>
      <c r="I151" s="40" t="e">
        <f>F151/F168</f>
        <v>#REF!</v>
      </c>
      <c r="J151" s="37"/>
      <c r="K151" s="37">
        <v>0</v>
      </c>
      <c r="L151" s="37">
        <v>0</v>
      </c>
      <c r="M151" s="37">
        <v>100</v>
      </c>
      <c r="N151" s="37">
        <v>0</v>
      </c>
      <c r="O151" s="37">
        <v>0</v>
      </c>
      <c r="P151" s="37">
        <v>150</v>
      </c>
      <c r="Q151" s="37">
        <v>0</v>
      </c>
      <c r="R151" s="37">
        <v>144</v>
      </c>
      <c r="S151" s="37">
        <v>100</v>
      </c>
      <c r="T151" s="43"/>
      <c r="U151" s="43"/>
      <c r="V151" s="44">
        <f t="shared" si="23"/>
        <v>100</v>
      </c>
    </row>
    <row r="152" spans="1:22" s="51" customFormat="1" ht="16.5" customHeight="1">
      <c r="A152" s="33" t="s">
        <v>74</v>
      </c>
      <c r="B152" s="42" t="s">
        <v>175</v>
      </c>
      <c r="C152" s="45"/>
      <c r="D152" s="45" t="s">
        <v>176</v>
      </c>
      <c r="E152" s="45"/>
      <c r="F152" s="49">
        <f>F153+F154</f>
        <v>21680</v>
      </c>
      <c r="G152" s="49">
        <f>G153+G154</f>
        <v>17100</v>
      </c>
      <c r="H152" s="47">
        <f t="shared" si="26"/>
        <v>78.87453874538745</v>
      </c>
      <c r="I152" s="47" t="e">
        <f>F152/F168</f>
        <v>#REF!</v>
      </c>
      <c r="J152" s="49"/>
      <c r="K152" s="49">
        <f>K153+K154</f>
        <v>0</v>
      </c>
      <c r="L152" s="49">
        <f>L153+L154</f>
        <v>0</v>
      </c>
      <c r="M152" s="49" t="e">
        <f>M153+M154+#REF!</f>
        <v>#REF!</v>
      </c>
      <c r="N152" s="49" t="e">
        <f>N153+N154+#REF!</f>
        <v>#REF!</v>
      </c>
      <c r="O152" s="49" t="e">
        <f>O153+O154+#REF!</f>
        <v>#REF!</v>
      </c>
      <c r="P152" s="50" t="e">
        <f>P153+P154+#REF!+P155+P156</f>
        <v>#REF!</v>
      </c>
      <c r="Q152" s="50" t="e">
        <f>Q153+Q154+#REF!+Q155+Q156</f>
        <v>#REF!</v>
      </c>
      <c r="R152" s="50" t="e">
        <f>R153+R154+#REF!+R155+R156</f>
        <v>#REF!</v>
      </c>
      <c r="S152" s="50">
        <f>S153+S154+S155+S156+S157</f>
        <v>673451</v>
      </c>
      <c r="T152" s="50">
        <f>T153+T154+T155+T156+T157</f>
        <v>0</v>
      </c>
      <c r="U152" s="50">
        <f>U153+U154+U155+U156+U157</f>
        <v>0</v>
      </c>
      <c r="V152" s="44">
        <f t="shared" si="23"/>
        <v>673451</v>
      </c>
    </row>
    <row r="153" spans="1:22" ht="23.25" customHeight="1">
      <c r="A153" s="52"/>
      <c r="B153" s="87" t="s">
        <v>48</v>
      </c>
      <c r="C153" s="36"/>
      <c r="D153" s="36"/>
      <c r="E153" s="36" t="s">
        <v>49</v>
      </c>
      <c r="F153" s="37">
        <v>19535</v>
      </c>
      <c r="G153" s="37">
        <v>14800</v>
      </c>
      <c r="H153" s="40">
        <f t="shared" si="26"/>
        <v>75.76145380087024</v>
      </c>
      <c r="I153" s="40" t="e">
        <f>F153/F168</f>
        <v>#REF!</v>
      </c>
      <c r="J153" s="37"/>
      <c r="K153" s="37">
        <v>0</v>
      </c>
      <c r="L153" s="37">
        <v>0</v>
      </c>
      <c r="M153" s="37">
        <v>165726</v>
      </c>
      <c r="N153" s="37">
        <v>0</v>
      </c>
      <c r="O153" s="37">
        <v>0</v>
      </c>
      <c r="P153" s="37">
        <v>187501</v>
      </c>
      <c r="Q153" s="37">
        <v>0</v>
      </c>
      <c r="R153" s="37">
        <v>0</v>
      </c>
      <c r="S153" s="37">
        <v>133356</v>
      </c>
      <c r="T153" s="43"/>
      <c r="U153" s="43"/>
      <c r="V153" s="44">
        <f t="shared" si="23"/>
        <v>133356</v>
      </c>
    </row>
    <row r="154" spans="1:22" ht="16.5" customHeight="1">
      <c r="A154" s="52"/>
      <c r="B154" s="84" t="s">
        <v>82</v>
      </c>
      <c r="C154" s="36"/>
      <c r="D154" s="36"/>
      <c r="E154" s="36" t="s">
        <v>83</v>
      </c>
      <c r="F154" s="37">
        <v>2145</v>
      </c>
      <c r="G154" s="37">
        <v>2300</v>
      </c>
      <c r="H154" s="40">
        <f t="shared" si="26"/>
        <v>107.22610722610723</v>
      </c>
      <c r="I154" s="40" t="e">
        <f>F154/F168</f>
        <v>#REF!</v>
      </c>
      <c r="J154" s="37"/>
      <c r="K154" s="37">
        <v>0</v>
      </c>
      <c r="L154" s="37">
        <v>0</v>
      </c>
      <c r="M154" s="37">
        <v>92012</v>
      </c>
      <c r="N154" s="37">
        <v>0</v>
      </c>
      <c r="O154" s="37">
        <v>0</v>
      </c>
      <c r="P154" s="37">
        <v>100384</v>
      </c>
      <c r="Q154" s="37">
        <v>0</v>
      </c>
      <c r="R154" s="37">
        <v>0</v>
      </c>
      <c r="S154" s="37">
        <v>86395</v>
      </c>
      <c r="T154" s="43"/>
      <c r="U154" s="43"/>
      <c r="V154" s="44">
        <f t="shared" si="23"/>
        <v>86395</v>
      </c>
    </row>
    <row r="155" spans="1:22" ht="15.75" customHeight="1">
      <c r="A155" s="52"/>
      <c r="B155" s="84" t="s">
        <v>52</v>
      </c>
      <c r="C155" s="36"/>
      <c r="D155" s="36"/>
      <c r="E155" s="36" t="s">
        <v>53</v>
      </c>
      <c r="F155" s="37"/>
      <c r="G155" s="37"/>
      <c r="H155" s="40"/>
      <c r="I155" s="40"/>
      <c r="J155" s="37"/>
      <c r="K155" s="37"/>
      <c r="L155" s="37"/>
      <c r="M155" s="37"/>
      <c r="N155" s="37"/>
      <c r="O155" s="37"/>
      <c r="P155" s="37">
        <v>4719</v>
      </c>
      <c r="Q155" s="37">
        <v>0</v>
      </c>
      <c r="R155" s="37">
        <v>0</v>
      </c>
      <c r="S155" s="37">
        <v>200</v>
      </c>
      <c r="T155" s="43"/>
      <c r="U155" s="43"/>
      <c r="V155" s="44">
        <f t="shared" si="23"/>
        <v>200</v>
      </c>
    </row>
    <row r="156" spans="1:22" ht="15.75" customHeight="1">
      <c r="A156" s="52"/>
      <c r="B156" s="84" t="s">
        <v>54</v>
      </c>
      <c r="C156" s="36"/>
      <c r="D156" s="36"/>
      <c r="E156" s="36" t="s">
        <v>55</v>
      </c>
      <c r="F156" s="37"/>
      <c r="G156" s="37"/>
      <c r="H156" s="40"/>
      <c r="I156" s="40"/>
      <c r="J156" s="37"/>
      <c r="K156" s="37"/>
      <c r="L156" s="37"/>
      <c r="M156" s="37"/>
      <c r="N156" s="37"/>
      <c r="O156" s="37"/>
      <c r="P156" s="37">
        <v>51569</v>
      </c>
      <c r="Q156" s="37">
        <v>0</v>
      </c>
      <c r="R156" s="37">
        <v>0</v>
      </c>
      <c r="S156" s="37">
        <v>3500</v>
      </c>
      <c r="T156" s="43"/>
      <c r="U156" s="43"/>
      <c r="V156" s="44">
        <f t="shared" si="23"/>
        <v>3500</v>
      </c>
    </row>
    <row r="157" spans="1:22" s="115" customFormat="1" ht="24" customHeight="1">
      <c r="A157" s="86"/>
      <c r="B157" s="84" t="s">
        <v>177</v>
      </c>
      <c r="C157" s="76"/>
      <c r="D157" s="76"/>
      <c r="E157" s="45" t="s">
        <v>178</v>
      </c>
      <c r="F157" s="81"/>
      <c r="G157" s="81"/>
      <c r="H157" s="79"/>
      <c r="I157" s="79"/>
      <c r="J157" s="81"/>
      <c r="K157" s="81"/>
      <c r="L157" s="81"/>
      <c r="M157" s="81"/>
      <c r="N157" s="81"/>
      <c r="O157" s="81"/>
      <c r="P157" s="82"/>
      <c r="Q157" s="82"/>
      <c r="R157" s="82"/>
      <c r="S157" s="50">
        <v>450000</v>
      </c>
      <c r="T157" s="83"/>
      <c r="U157" s="83"/>
      <c r="V157" s="44">
        <f t="shared" si="23"/>
        <v>450000</v>
      </c>
    </row>
    <row r="158" spans="1:22" ht="15.75" customHeight="1">
      <c r="A158" s="52" t="s">
        <v>114</v>
      </c>
      <c r="B158" s="42" t="s">
        <v>179</v>
      </c>
      <c r="C158" s="36"/>
      <c r="D158" s="36" t="s">
        <v>180</v>
      </c>
      <c r="E158" s="36"/>
      <c r="F158" s="37"/>
      <c r="G158" s="37"/>
      <c r="H158" s="40"/>
      <c r="I158" s="40"/>
      <c r="J158" s="37"/>
      <c r="K158" s="37"/>
      <c r="L158" s="37"/>
      <c r="M158" s="37"/>
      <c r="N158" s="37"/>
      <c r="O158" s="37"/>
      <c r="P158" s="37"/>
      <c r="Q158" s="37"/>
      <c r="R158" s="37"/>
      <c r="S158" s="37">
        <f>S159+S160</f>
        <v>358160</v>
      </c>
      <c r="T158" s="37">
        <f>T159+T160</f>
        <v>50000</v>
      </c>
      <c r="U158" s="37">
        <f>U159+U160</f>
        <v>0</v>
      </c>
      <c r="V158" s="44">
        <f t="shared" si="23"/>
        <v>408160</v>
      </c>
    </row>
    <row r="159" spans="1:22" s="115" customFormat="1" ht="46.5" customHeight="1">
      <c r="A159" s="33"/>
      <c r="B159" s="87" t="s">
        <v>131</v>
      </c>
      <c r="C159" s="88"/>
      <c r="D159" s="88"/>
      <c r="E159" s="89">
        <v>2888</v>
      </c>
      <c r="F159" s="46"/>
      <c r="G159" s="39"/>
      <c r="H159" s="47"/>
      <c r="I159" s="48"/>
      <c r="J159" s="49"/>
      <c r="K159" s="49"/>
      <c r="L159" s="49"/>
      <c r="M159" s="49"/>
      <c r="N159" s="49"/>
      <c r="O159" s="49"/>
      <c r="P159" s="49"/>
      <c r="Q159" s="49"/>
      <c r="R159" s="49"/>
      <c r="S159" s="49">
        <v>243549</v>
      </c>
      <c r="T159" s="114">
        <v>34000</v>
      </c>
      <c r="U159" s="114"/>
      <c r="V159" s="44">
        <f t="shared" si="23"/>
        <v>277549</v>
      </c>
    </row>
    <row r="160" spans="1:22" s="115" customFormat="1" ht="44.25" customHeight="1">
      <c r="A160" s="33"/>
      <c r="B160" s="87" t="s">
        <v>131</v>
      </c>
      <c r="C160" s="88"/>
      <c r="D160" s="88"/>
      <c r="E160" s="89">
        <v>2889</v>
      </c>
      <c r="F160" s="46"/>
      <c r="G160" s="39"/>
      <c r="H160" s="47"/>
      <c r="I160" s="48"/>
      <c r="J160" s="49"/>
      <c r="K160" s="49"/>
      <c r="L160" s="49"/>
      <c r="M160" s="49"/>
      <c r="N160" s="49"/>
      <c r="O160" s="49"/>
      <c r="P160" s="49"/>
      <c r="Q160" s="49"/>
      <c r="R160" s="49"/>
      <c r="S160" s="49">
        <v>114611</v>
      </c>
      <c r="T160" s="114">
        <v>16000</v>
      </c>
      <c r="U160" s="114"/>
      <c r="V160" s="44">
        <f t="shared" si="23"/>
        <v>130611</v>
      </c>
    </row>
    <row r="161" spans="1:23" s="115" customFormat="1" ht="25.5">
      <c r="A161" s="22" t="s">
        <v>181</v>
      </c>
      <c r="B161" s="54" t="s">
        <v>182</v>
      </c>
      <c r="C161" s="94">
        <v>900</v>
      </c>
      <c r="D161" s="94"/>
      <c r="E161" s="94"/>
      <c r="F161" s="72"/>
      <c r="G161" s="73"/>
      <c r="H161" s="55"/>
      <c r="I161" s="74"/>
      <c r="J161" s="23"/>
      <c r="K161" s="23"/>
      <c r="L161" s="23"/>
      <c r="M161" s="23"/>
      <c r="N161" s="23"/>
      <c r="O161" s="23"/>
      <c r="P161" s="23"/>
      <c r="Q161" s="23"/>
      <c r="R161" s="23"/>
      <c r="S161" s="23">
        <f>S162</f>
        <v>40000</v>
      </c>
      <c r="T161" s="23">
        <f>T162</f>
        <v>450</v>
      </c>
      <c r="U161" s="23">
        <f>U162</f>
        <v>0</v>
      </c>
      <c r="V161" s="119">
        <f t="shared" si="23"/>
        <v>40450</v>
      </c>
      <c r="W161" s="120"/>
    </row>
    <row r="162" spans="1:23" ht="25.5" customHeight="1">
      <c r="A162" s="33" t="s">
        <v>26</v>
      </c>
      <c r="B162" s="42" t="s">
        <v>183</v>
      </c>
      <c r="C162" s="89"/>
      <c r="D162" s="89">
        <v>90011</v>
      </c>
      <c r="E162" s="37"/>
      <c r="F162" s="46"/>
      <c r="G162" s="39"/>
      <c r="H162" s="47"/>
      <c r="I162" s="48"/>
      <c r="J162" s="49"/>
      <c r="K162" s="49"/>
      <c r="L162" s="49"/>
      <c r="M162" s="37"/>
      <c r="N162" s="37"/>
      <c r="O162" s="37"/>
      <c r="P162" s="37"/>
      <c r="Q162" s="37"/>
      <c r="R162" s="37"/>
      <c r="S162" s="37">
        <f>S163+S164</f>
        <v>40000</v>
      </c>
      <c r="T162" s="37">
        <f>T163+T164</f>
        <v>450</v>
      </c>
      <c r="U162" s="37">
        <f>U163+U164</f>
        <v>0</v>
      </c>
      <c r="V162" s="44">
        <f t="shared" si="23"/>
        <v>40450</v>
      </c>
      <c r="W162" s="32"/>
    </row>
    <row r="163" spans="1:23" ht="23.25" customHeight="1">
      <c r="A163" s="33"/>
      <c r="B163" s="87" t="s">
        <v>161</v>
      </c>
      <c r="C163" s="89"/>
      <c r="D163" s="89"/>
      <c r="E163" s="37">
        <v>2440</v>
      </c>
      <c r="F163" s="46"/>
      <c r="G163" s="39"/>
      <c r="H163" s="47"/>
      <c r="I163" s="48"/>
      <c r="J163" s="49"/>
      <c r="K163" s="49"/>
      <c r="L163" s="49"/>
      <c r="M163" s="37"/>
      <c r="N163" s="37"/>
      <c r="O163" s="37"/>
      <c r="P163" s="37"/>
      <c r="Q163" s="37"/>
      <c r="R163" s="37"/>
      <c r="S163" s="37">
        <v>0</v>
      </c>
      <c r="T163" s="43">
        <v>450</v>
      </c>
      <c r="U163" s="43">
        <v>0</v>
      </c>
      <c r="V163" s="44">
        <f t="shared" si="23"/>
        <v>450</v>
      </c>
      <c r="W163" s="32"/>
    </row>
    <row r="164" spans="1:36" ht="34.5" customHeight="1">
      <c r="A164" s="86"/>
      <c r="B164" s="87" t="s">
        <v>163</v>
      </c>
      <c r="C164" s="89"/>
      <c r="D164" s="89"/>
      <c r="E164" s="89">
        <v>6260</v>
      </c>
      <c r="F164" s="46"/>
      <c r="G164" s="39"/>
      <c r="H164" s="47"/>
      <c r="I164" s="48"/>
      <c r="J164" s="49"/>
      <c r="K164" s="49"/>
      <c r="L164" s="49"/>
      <c r="M164" s="37"/>
      <c r="N164" s="37"/>
      <c r="O164" s="37"/>
      <c r="P164" s="37"/>
      <c r="Q164" s="37"/>
      <c r="R164" s="37"/>
      <c r="S164" s="37">
        <v>40000</v>
      </c>
      <c r="T164" s="43"/>
      <c r="U164" s="43"/>
      <c r="V164" s="44">
        <f t="shared" si="23"/>
        <v>40000</v>
      </c>
      <c r="W164" s="121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</row>
    <row r="165" spans="1:22" s="115" customFormat="1" ht="23.25" customHeight="1">
      <c r="A165" s="22" t="s">
        <v>184</v>
      </c>
      <c r="B165" s="54" t="s">
        <v>185</v>
      </c>
      <c r="C165" s="94">
        <v>921</v>
      </c>
      <c r="D165" s="23"/>
      <c r="E165" s="94"/>
      <c r="F165" s="72"/>
      <c r="G165" s="73"/>
      <c r="H165" s="55"/>
      <c r="I165" s="74"/>
      <c r="J165" s="23"/>
      <c r="K165" s="23"/>
      <c r="L165" s="23"/>
      <c r="M165" s="23"/>
      <c r="N165" s="23"/>
      <c r="O165" s="23"/>
      <c r="P165" s="23"/>
      <c r="Q165" s="23"/>
      <c r="R165" s="23"/>
      <c r="S165" s="23">
        <f>S167</f>
        <v>65000</v>
      </c>
      <c r="T165" s="23">
        <f>T167</f>
        <v>0</v>
      </c>
      <c r="U165" s="23">
        <f>U167</f>
        <v>0</v>
      </c>
      <c r="V165" s="119">
        <f t="shared" si="23"/>
        <v>65000</v>
      </c>
    </row>
    <row r="166" spans="1:22" s="108" customFormat="1" ht="23.25" customHeight="1">
      <c r="A166" s="100" t="s">
        <v>26</v>
      </c>
      <c r="B166" s="101" t="s">
        <v>186</v>
      </c>
      <c r="C166" s="102"/>
      <c r="D166" s="122">
        <v>92116</v>
      </c>
      <c r="E166" s="102"/>
      <c r="F166" s="103"/>
      <c r="G166" s="104"/>
      <c r="H166" s="105"/>
      <c r="I166" s="106"/>
      <c r="J166" s="90"/>
      <c r="K166" s="90"/>
      <c r="L166" s="90"/>
      <c r="M166" s="90"/>
      <c r="N166" s="90"/>
      <c r="O166" s="90"/>
      <c r="P166" s="90"/>
      <c r="Q166" s="90"/>
      <c r="R166" s="90"/>
      <c r="S166" s="90">
        <f>S167</f>
        <v>65000</v>
      </c>
      <c r="T166" s="90">
        <f>T167</f>
        <v>0</v>
      </c>
      <c r="U166" s="90">
        <f>U167</f>
        <v>0</v>
      </c>
      <c r="V166" s="44">
        <f t="shared" si="23"/>
        <v>65000</v>
      </c>
    </row>
    <row r="167" spans="1:22" s="115" customFormat="1" ht="26.25" customHeight="1" thickBot="1">
      <c r="A167" s="123"/>
      <c r="B167" s="124" t="s">
        <v>187</v>
      </c>
      <c r="C167" s="125"/>
      <c r="D167" s="125"/>
      <c r="E167" s="126">
        <v>6630</v>
      </c>
      <c r="F167" s="127"/>
      <c r="G167" s="128"/>
      <c r="H167" s="129"/>
      <c r="I167" s="130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>
        <v>65000</v>
      </c>
      <c r="T167" s="132"/>
      <c r="U167" s="132"/>
      <c r="V167" s="133">
        <f t="shared" si="23"/>
        <v>65000</v>
      </c>
    </row>
    <row r="168" spans="1:22" ht="18.75" customHeight="1" thickBot="1">
      <c r="A168" s="134"/>
      <c r="B168" s="135" t="s">
        <v>188</v>
      </c>
      <c r="C168" s="136"/>
      <c r="D168" s="136"/>
      <c r="E168" s="136"/>
      <c r="F168" s="137" t="e">
        <f>#REF!+#REF!+#REF!+#REF!+#REF!+#REF!+#REF!+#REF!</f>
        <v>#REF!</v>
      </c>
      <c r="G168" s="138" t="e">
        <f>#REF!+#REF!+#REF!+#REF!+#REF!+#REF!+#REF!+#REF!+#REF!+#REF!+#REF!+#REF!</f>
        <v>#REF!</v>
      </c>
      <c r="H168" s="139" t="e">
        <f>IF(F168&gt;0,G168/F168*100,"")</f>
        <v>#REF!</v>
      </c>
      <c r="I168" s="140" t="e">
        <f>F168/F168</f>
        <v>#REF!</v>
      </c>
      <c r="J168" s="141"/>
      <c r="K168" s="141" t="e">
        <f>#REF!+#REF!+#REF!+#REF!+#REF!+#REF!+#REF!+#REF!+#REF!</f>
        <v>#REF!</v>
      </c>
      <c r="L168" s="141" t="e">
        <f>#REF!+#REF!+#REF!+#REF!+#REF!+#REF!++#REF!+#REF!+#REF!</f>
        <v>#REF!</v>
      </c>
      <c r="M168" s="142" t="e">
        <f>#REF!+#REF!+#REF!+#REF!+#REF!+#REF!+#REF!+#REF!+#REF!+#REF!+#REF!</f>
        <v>#REF!</v>
      </c>
      <c r="N168" s="142" t="e">
        <f>#REF!+#REF!+#REF!+#REF!+#REF!+#REF!+#REF!+#REF!+#REF!+#REF!+#REF!</f>
        <v>#REF!</v>
      </c>
      <c r="O168" s="142" t="e">
        <f>#REF!+#REF!+#REF!+#REF!+#REF!+#REF!+#REF!+#REF!+#REF!+#REF!+#REF!</f>
        <v>#REF!</v>
      </c>
      <c r="P168" s="142" t="e">
        <f>#REF!+#REF!+#REF!+#REF!+#REF!+#REF!+#REF!+#REF!+#REF!+#REF!+#REF!+#REF!</f>
        <v>#REF!</v>
      </c>
      <c r="Q168" s="142" t="e">
        <f>#REF!+#REF!+#REF!+#REF!+#REF!+#REF!+#REF!+#REF!+#REF!+#REF!+#REF!+#REF!</f>
        <v>#REF!</v>
      </c>
      <c r="R168" s="142" t="e">
        <f>#REF!+#REF!+#REF!+#REF!+#REF!+#REF!+#REF!+#REF!+#REF!+#REF!+#REF!+#REF!</f>
        <v>#REF!</v>
      </c>
      <c r="S168" s="142">
        <f>S11+S16+S19+S33+S41+S48+S59+S73+S77+S90+S103+S108+S117+S133+S143+S161+S165</f>
        <v>32610605</v>
      </c>
      <c r="T168" s="142">
        <f>T11+T16+T19+T33+T41+T48+T59+T73+T77+T90+T103+T108+T117+T133+T143+T161+T165</f>
        <v>651938</v>
      </c>
      <c r="U168" s="142">
        <f>U11+U16+U19+U33+U41+U48+U59+U73+U77+U90+U103+U108+U117+U133+U143+U161+U165</f>
        <v>108125</v>
      </c>
      <c r="V168" s="143">
        <f t="shared" si="23"/>
        <v>33154418</v>
      </c>
    </row>
    <row r="169" spans="1:22" ht="18" customHeight="1">
      <c r="A169" s="144"/>
      <c r="B169" s="412" t="s">
        <v>189</v>
      </c>
      <c r="C169" s="413"/>
      <c r="D169" s="413"/>
      <c r="E169" s="414"/>
      <c r="F169" s="145" t="e">
        <f>#REF!+#REF!+#REF!+#REF!+#REF!+#REF!</f>
        <v>#REF!</v>
      </c>
      <c r="G169" s="146" t="e">
        <f>#REF!+#REF!+#REF!+#REF!+#REF!+#REF!</f>
        <v>#REF!</v>
      </c>
      <c r="H169" s="147" t="e">
        <f>IF(F169&gt;0,G169/F169*100,"")</f>
        <v>#REF!</v>
      </c>
      <c r="I169" s="148" t="e">
        <f>F169/F168</f>
        <v>#REF!</v>
      </c>
      <c r="J169" s="149"/>
      <c r="K169" s="149" t="e">
        <f>#REF!+#REF!+#REF!+#REF!+#REF!+#REF!</f>
        <v>#REF!</v>
      </c>
      <c r="L169" s="149" t="e">
        <f>#REF!+#REF!+#REF!+#REF!+#REF!+#REF!</f>
        <v>#REF!</v>
      </c>
      <c r="M169" s="150" t="e">
        <f>#REF!+#REF!+#REF!+#REF!+#REF!+#REF!+#REF!+#REF!+#REF!</f>
        <v>#REF!</v>
      </c>
      <c r="N169" s="150" t="e">
        <f>#REF!+#REF!+#REF!+#REF!+#REF!+#REF!+#REF!+#REF!+#REF!</f>
        <v>#REF!</v>
      </c>
      <c r="O169" s="150" t="e">
        <f>#REF!+#REF!+#REF!+#REF!+#REF!+#REF!+#REF!+#REF!+#REF!</f>
        <v>#REF!</v>
      </c>
      <c r="P169" s="150" t="e">
        <f>#REF!+#REF!+#REF!+#REF!+#REF!+#REF!+#REF!</f>
        <v>#REF!</v>
      </c>
      <c r="Q169" s="150" t="e">
        <f>#REF!+#REF!+#REF!+#REF!+#REF!+#REF!+#REF!</f>
        <v>#REF!</v>
      </c>
      <c r="R169" s="150" t="e">
        <f>#REF!+#REF!+#REF!+#REF!+#REF!+#REF!+#REF!</f>
        <v>#REF!</v>
      </c>
      <c r="S169" s="150">
        <f>S170+S171+S172+S173+S174</f>
        <v>10750351</v>
      </c>
      <c r="T169" s="150">
        <f>T170+T171+T172+T173+T174</f>
        <v>579901</v>
      </c>
      <c r="U169" s="150">
        <f>U170+U171+U172+U173+U174</f>
        <v>105000</v>
      </c>
      <c r="V169" s="151">
        <f t="shared" si="23"/>
        <v>11225252</v>
      </c>
    </row>
    <row r="170" spans="1:22" ht="18.75" customHeight="1">
      <c r="A170" s="52"/>
      <c r="B170" s="450" t="s">
        <v>190</v>
      </c>
      <c r="C170" s="410"/>
      <c r="D170" s="410"/>
      <c r="E170" s="411"/>
      <c r="F170" s="38" t="e">
        <f>#REF!+#REF!</f>
        <v>#REF!</v>
      </c>
      <c r="G170" s="53" t="e">
        <f>#REF!+#REF!</f>
        <v>#REF!</v>
      </c>
      <c r="H170" s="40" t="e">
        <f>IF(F170&gt;0,G170/F170*100,"")</f>
        <v>#REF!</v>
      </c>
      <c r="I170" s="41" t="e">
        <f>F170/F168</f>
        <v>#REF!</v>
      </c>
      <c r="J170" s="37"/>
      <c r="K170" s="37" t="e">
        <f>#REF!</f>
        <v>#REF!</v>
      </c>
      <c r="L170" s="37" t="e">
        <f>#REF!</f>
        <v>#REF!</v>
      </c>
      <c r="M170" s="109" t="e">
        <f>#REF!</f>
        <v>#REF!</v>
      </c>
      <c r="N170" s="109" t="e">
        <f>#REF!</f>
        <v>#REF!</v>
      </c>
      <c r="O170" s="109" t="e">
        <f>#REF!</f>
        <v>#REF!</v>
      </c>
      <c r="P170" s="109" t="e">
        <f>#REF!</f>
        <v>#REF!</v>
      </c>
      <c r="Q170" s="109" t="e">
        <f>#REF!</f>
        <v>#REF!</v>
      </c>
      <c r="R170" s="109" t="e">
        <f>#REF!</f>
        <v>#REF!</v>
      </c>
      <c r="S170" s="109">
        <f>S127</f>
        <v>490000</v>
      </c>
      <c r="T170" s="109">
        <f>T127</f>
        <v>0</v>
      </c>
      <c r="U170" s="109">
        <f>U127</f>
        <v>0</v>
      </c>
      <c r="V170" s="44">
        <f t="shared" si="23"/>
        <v>490000</v>
      </c>
    </row>
    <row r="171" spans="1:22" ht="18.75" customHeight="1">
      <c r="A171" s="52"/>
      <c r="B171" s="450" t="s">
        <v>191</v>
      </c>
      <c r="C171" s="410"/>
      <c r="D171" s="410"/>
      <c r="E171" s="411"/>
      <c r="F171" s="38" t="e">
        <f>#REF!</f>
        <v>#REF!</v>
      </c>
      <c r="G171" s="53" t="e">
        <f>#REF!</f>
        <v>#REF!</v>
      </c>
      <c r="H171" s="40" t="e">
        <f>IF(F171&gt;0,G171/F171*100,"")</f>
        <v>#REF!</v>
      </c>
      <c r="I171" s="41" t="e">
        <f>F171/F168</f>
        <v>#REF!</v>
      </c>
      <c r="J171" s="37"/>
      <c r="K171" s="37" t="e">
        <f>#REF!</f>
        <v>#REF!</v>
      </c>
      <c r="L171" s="37" t="e">
        <f>#REF!</f>
        <v>#REF!</v>
      </c>
      <c r="M171" s="109" t="e">
        <f>#REF!</f>
        <v>#REF!</v>
      </c>
      <c r="N171" s="109" t="e">
        <f>#REF!</f>
        <v>#REF!</v>
      </c>
      <c r="O171" s="109" t="e">
        <f>#REF!</f>
        <v>#REF!</v>
      </c>
      <c r="P171" s="109" t="e">
        <f>#REF!</f>
        <v>#REF!</v>
      </c>
      <c r="Q171" s="109" t="e">
        <f>#REF!</f>
        <v>#REF!</v>
      </c>
      <c r="R171" s="109" t="e">
        <f>#REF!</f>
        <v>#REF!</v>
      </c>
      <c r="S171" s="109">
        <f>S13+S40+S43+S45+S47+S50+S58+S61+S72+S116</f>
        <v>3305295</v>
      </c>
      <c r="T171" s="109">
        <f>T13+T40+T43+T45+T47+T50+T58+T61+T72+T116</f>
        <v>6000</v>
      </c>
      <c r="U171" s="109">
        <f>U13+U40+U43+U45+U47+U50+U58+U61+U72+U116</f>
        <v>105000</v>
      </c>
      <c r="V171" s="44">
        <f>S171+T171-U171</f>
        <v>3206295</v>
      </c>
    </row>
    <row r="172" spans="1:22" ht="17.25" customHeight="1">
      <c r="A172" s="52"/>
      <c r="B172" s="481" t="s">
        <v>192</v>
      </c>
      <c r="C172" s="448"/>
      <c r="D172" s="448"/>
      <c r="E172" s="449"/>
      <c r="F172" s="38" t="e">
        <f>#REF!+#REF!+#REF!</f>
        <v>#REF!</v>
      </c>
      <c r="G172" s="53" t="e">
        <f>#REF!+#REF!</f>
        <v>#REF!</v>
      </c>
      <c r="H172" s="40" t="e">
        <f>IF(F172&gt;0,G172/F172*100,"")</f>
        <v>#REF!</v>
      </c>
      <c r="I172" s="41" t="e">
        <f>F172/F168</f>
        <v>#REF!</v>
      </c>
      <c r="J172" s="37"/>
      <c r="K172" s="37" t="e">
        <f>#REF!+#REF!</f>
        <v>#REF!</v>
      </c>
      <c r="L172" s="37" t="e">
        <f>#REF!+#REF!</f>
        <v>#REF!</v>
      </c>
      <c r="M172" s="109" t="e">
        <f>#REF!+#REF!+#REF!+#REF!</f>
        <v>#REF!</v>
      </c>
      <c r="N172" s="109" t="e">
        <f>#REF!+#REF!+#REF!+#REF!</f>
        <v>#REF!</v>
      </c>
      <c r="O172" s="109" t="e">
        <f>#REF!+#REF!+#REF!+#REF!</f>
        <v>#REF!</v>
      </c>
      <c r="P172" s="109" t="e">
        <f>#REF!+#REF!+#REF!</f>
        <v>#REF!</v>
      </c>
      <c r="Q172" s="109" t="e">
        <f>#REF!+#REF!+#REF!</f>
        <v>#REF!</v>
      </c>
      <c r="R172" s="109" t="e">
        <f>#REF!+#REF!+#REF!</f>
        <v>#REF!</v>
      </c>
      <c r="S172" s="109">
        <f>S62+S63+S31+S32+S122+S130+S159+S160+S106+S107+S114+S167</f>
        <v>1295062</v>
      </c>
      <c r="T172" s="109">
        <f>T62+T63+T31+T32+T122+T130+T159+T160+T106+T107+T114+T167</f>
        <v>83015</v>
      </c>
      <c r="U172" s="109">
        <f>U62+U63+U31+U32+U122+U130+U159+U160+U106+U107+U114+U167</f>
        <v>0</v>
      </c>
      <c r="V172" s="44">
        <f>S172+T172-U172</f>
        <v>1378077</v>
      </c>
    </row>
    <row r="173" spans="1:22" ht="21" customHeight="1">
      <c r="A173" s="52"/>
      <c r="B173" s="481" t="s">
        <v>193</v>
      </c>
      <c r="C173" s="448"/>
      <c r="D173" s="448"/>
      <c r="E173" s="449"/>
      <c r="F173" s="38"/>
      <c r="G173" s="53"/>
      <c r="H173" s="40"/>
      <c r="I173" s="41"/>
      <c r="J173" s="37"/>
      <c r="K173" s="37"/>
      <c r="L173" s="37"/>
      <c r="M173" s="109"/>
      <c r="N173" s="109"/>
      <c r="O173" s="109"/>
      <c r="P173" s="109"/>
      <c r="Q173" s="109"/>
      <c r="R173" s="109"/>
      <c r="S173" s="109">
        <f>S136+S137+S142+S163+S164</f>
        <v>654313</v>
      </c>
      <c r="T173" s="109">
        <f>T136+T137+T142+T163+T164</f>
        <v>450</v>
      </c>
      <c r="U173" s="109">
        <f>U136+U137+U142+U163+U164</f>
        <v>0</v>
      </c>
      <c r="V173" s="44">
        <f>S173+T173-U173</f>
        <v>654763</v>
      </c>
    </row>
    <row r="174" spans="1:22" ht="18.75" customHeight="1">
      <c r="A174" s="52"/>
      <c r="B174" s="512" t="s">
        <v>194</v>
      </c>
      <c r="C174" s="513"/>
      <c r="D174" s="513"/>
      <c r="E174" s="480"/>
      <c r="F174" s="37"/>
      <c r="G174" s="37"/>
      <c r="H174" s="37"/>
      <c r="I174" s="37"/>
      <c r="J174" s="37"/>
      <c r="K174" s="37"/>
      <c r="L174" s="37"/>
      <c r="M174" s="109" t="e">
        <f>#REF!</f>
        <v>#REF!</v>
      </c>
      <c r="N174" s="109" t="e">
        <f>#REF!</f>
        <v>#REF!</v>
      </c>
      <c r="O174" s="109" t="e">
        <f>#REF!</f>
        <v>#REF!</v>
      </c>
      <c r="P174" s="109" t="e">
        <f>#REF!+#REF!</f>
        <v>#REF!</v>
      </c>
      <c r="Q174" s="109" t="e">
        <f>#REF!+#REF!</f>
        <v>#REF!</v>
      </c>
      <c r="R174" s="109" t="e">
        <f>#REF!+#REF!</f>
        <v>#REF!</v>
      </c>
      <c r="S174" s="109">
        <f>S18+S29+S30+S112+S113+S157</f>
        <v>5005681</v>
      </c>
      <c r="T174" s="109">
        <f>T18+T29+T30+T112+T113+T157</f>
        <v>490436</v>
      </c>
      <c r="U174" s="109">
        <f>U18+U29+U30+U112+U113+U157</f>
        <v>0</v>
      </c>
      <c r="V174" s="44">
        <f>S174+T174-U174</f>
        <v>5496117</v>
      </c>
    </row>
    <row r="175" spans="1:23" ht="14.25" customHeight="1" thickBot="1">
      <c r="A175" s="152"/>
      <c r="B175" s="509" t="s">
        <v>195</v>
      </c>
      <c r="C175" s="510"/>
      <c r="D175" s="510"/>
      <c r="E175" s="511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>
        <f>S15+S21+S22+S23+S24+S25+S26+S35+S36+S37+S38+S39+S52+S53+S54+S55+S56+S75+S76+S84+S92+S93+S94+S95+S97+S98+S99+S100+S101+S102+S105+S110+S111+S119+S120+S121+S124+S125+S126+S129+S132+S135+S139+S140+S141+S145+S146+S147+S148+S150+S151+S153+S154+S155+S156</f>
        <v>5590873</v>
      </c>
      <c r="T175" s="153">
        <f>T15+T21+T22+T23+T24+T25+T26+T35+T36+T37+T38+T39+T52+T53+T54+T55+T56+T75+T76+T84+T92+T93+T94+T95+T97+T98+T99+T100+T101+T102+T105+T110+T111+T119+T120+T121+T124+T125+T126+T129+T132+T135+T139+T140+T141+T145+T146+T147+T148+T150+T151+T153+T154+T155+T156</f>
        <v>34301</v>
      </c>
      <c r="U175" s="153">
        <f>U15+U21+U22+U23+U24+U25+U26+U35+U36+U37+U38+U39+U52+U53+U54+U55+U56+U75+U76+U84+U92+U93+U94+U95+U97+U98+U99+U100+U101+U102+U105+U110+U111+U119+U120+U121+U124+U125+U126+U129+U132+U135+U139+U140+U141+U145+U146+U147+U148+U150+U151+U153+U154+U155+U156</f>
        <v>3100</v>
      </c>
      <c r="V175" s="153">
        <f>V15+V21+V22+V23+V24+V25+V26+V35+V36+V37+V38+V39+V52+V53+V54+V55+V56+V75+V76+V84+V92+V93+V94+V95+V97+V98+V99+V100+V101+V102+V105+V110+V111+V119+V120+V121+V124+V125+V126+V129+V132+V135+V139+V140+V141+V145+V146+V147+V148+V150+V151+V153+V154+V155+V156</f>
        <v>5622074</v>
      </c>
      <c r="W175" s="154"/>
    </row>
    <row r="176" spans="22:23" ht="14.25" customHeight="1">
      <c r="V176" s="154"/>
      <c r="W176" s="154"/>
    </row>
    <row r="177" spans="2:23" ht="14.25" customHeight="1">
      <c r="B177" t="s">
        <v>196</v>
      </c>
      <c r="V177" s="154"/>
      <c r="W177" s="154"/>
    </row>
    <row r="178" spans="22:23" ht="14.25" customHeight="1">
      <c r="V178" s="154"/>
      <c r="W178" s="154"/>
    </row>
    <row r="179" spans="16:23" ht="12.75">
      <c r="P179" t="s">
        <v>197</v>
      </c>
      <c r="V179" s="154"/>
      <c r="W179" s="154"/>
    </row>
    <row r="180" spans="22:23" ht="12.75">
      <c r="V180" s="154"/>
      <c r="W180" s="154"/>
    </row>
    <row r="181" spans="22:23" ht="12.75">
      <c r="V181" s="154"/>
      <c r="W181" s="154"/>
    </row>
    <row r="182" spans="22:23" ht="12.75">
      <c r="V182" s="154"/>
      <c r="W182" s="154"/>
    </row>
    <row r="183" spans="22:23" ht="12.75">
      <c r="V183" s="154"/>
      <c r="W183" s="154"/>
    </row>
    <row r="184" spans="22:23" ht="12.75">
      <c r="V184" s="154"/>
      <c r="W184" s="154"/>
    </row>
    <row r="185" spans="22:23" ht="12.75">
      <c r="V185" s="154"/>
      <c r="W185" s="154"/>
    </row>
  </sheetData>
  <mergeCells count="28">
    <mergeCell ref="U6:U9"/>
    <mergeCell ref="C1:V2"/>
    <mergeCell ref="B175:E175"/>
    <mergeCell ref="B174:E174"/>
    <mergeCell ref="B173:E173"/>
    <mergeCell ref="B172:E172"/>
    <mergeCell ref="B171:E171"/>
    <mergeCell ref="B170:E170"/>
    <mergeCell ref="B169:E169"/>
    <mergeCell ref="V6:V9"/>
    <mergeCell ref="F7:F9"/>
    <mergeCell ref="G7:G9"/>
    <mergeCell ref="H7:H9"/>
    <mergeCell ref="K7:K9"/>
    <mergeCell ref="L7:L9"/>
    <mergeCell ref="N7:N9"/>
    <mergeCell ref="O7:O9"/>
    <mergeCell ref="I8:I9"/>
    <mergeCell ref="T6:T9"/>
    <mergeCell ref="A6:A9"/>
    <mergeCell ref="B6:B8"/>
    <mergeCell ref="C6:E8"/>
    <mergeCell ref="M6:M9"/>
    <mergeCell ref="N6:O6"/>
    <mergeCell ref="P6:P9"/>
    <mergeCell ref="Q6:Q9"/>
    <mergeCell ref="R6:R9"/>
    <mergeCell ref="S6:S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selection activeCell="D4" sqref="D4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626" t="s">
        <v>789</v>
      </c>
    </row>
    <row r="2" ht="12.75">
      <c r="C2" s="626"/>
    </row>
    <row r="3" ht="12.75">
      <c r="C3" s="626"/>
    </row>
    <row r="4" spans="1:3" ht="33.75" customHeight="1">
      <c r="A4" s="623" t="s">
        <v>747</v>
      </c>
      <c r="B4" s="623"/>
      <c r="C4" s="623"/>
    </row>
    <row r="5" spans="1:2" ht="14.25" customHeight="1">
      <c r="A5" s="409"/>
      <c r="B5" s="409"/>
    </row>
    <row r="6" ht="13.5" thickBot="1">
      <c r="C6" s="232" t="s">
        <v>748</v>
      </c>
    </row>
    <row r="7" spans="1:3" ht="23.25" customHeight="1" thickBot="1">
      <c r="A7" s="165" t="s">
        <v>0</v>
      </c>
      <c r="B7" s="163" t="s">
        <v>708</v>
      </c>
      <c r="C7" s="446" t="s">
        <v>8</v>
      </c>
    </row>
    <row r="8" spans="1:3" ht="16.5" customHeight="1">
      <c r="A8" s="447" t="s">
        <v>660</v>
      </c>
      <c r="B8" s="435" t="s">
        <v>728</v>
      </c>
      <c r="C8" s="435">
        <f>C9+C10-C11</f>
        <v>181885</v>
      </c>
    </row>
    <row r="9" spans="1:3" ht="15.75" customHeight="1">
      <c r="A9" s="441" t="s">
        <v>23</v>
      </c>
      <c r="B9" s="442" t="s">
        <v>729</v>
      </c>
      <c r="C9" s="149">
        <v>185249</v>
      </c>
    </row>
    <row r="10" spans="1:3" ht="18.75" customHeight="1">
      <c r="A10" s="427" t="s">
        <v>34</v>
      </c>
      <c r="B10" s="428" t="s">
        <v>730</v>
      </c>
      <c r="C10" s="37">
        <v>4712</v>
      </c>
    </row>
    <row r="11" spans="1:3" ht="17.25" customHeight="1">
      <c r="A11" s="427" t="s">
        <v>41</v>
      </c>
      <c r="B11" s="428" t="s">
        <v>731</v>
      </c>
      <c r="C11" s="37">
        <v>8076</v>
      </c>
    </row>
    <row r="12" spans="1:3" ht="16.5" customHeight="1" thickBot="1">
      <c r="A12" s="238" t="s">
        <v>63</v>
      </c>
      <c r="B12" s="429" t="s">
        <v>732</v>
      </c>
      <c r="C12" s="198">
        <v>0</v>
      </c>
    </row>
    <row r="13" spans="1:3" ht="20.25" customHeight="1" thickBot="1">
      <c r="A13" s="420" t="s">
        <v>662</v>
      </c>
      <c r="B13" s="423" t="s">
        <v>710</v>
      </c>
      <c r="C13" s="386">
        <f>C14+C15</f>
        <v>150000</v>
      </c>
    </row>
    <row r="14" spans="1:3" ht="16.5" customHeight="1">
      <c r="A14" s="441" t="s">
        <v>23</v>
      </c>
      <c r="B14" s="451" t="s">
        <v>749</v>
      </c>
      <c r="C14" s="149">
        <v>150000</v>
      </c>
    </row>
    <row r="15" spans="1:3" ht="16.5" customHeight="1" thickBot="1">
      <c r="A15" s="427">
        <v>2</v>
      </c>
      <c r="B15" s="117" t="s">
        <v>750</v>
      </c>
      <c r="C15" s="37"/>
    </row>
    <row r="16" spans="1:3" ht="18" customHeight="1" thickBot="1">
      <c r="A16" s="420" t="s">
        <v>666</v>
      </c>
      <c r="B16" s="423" t="s">
        <v>499</v>
      </c>
      <c r="C16" s="386">
        <f>C17+C25</f>
        <v>250000</v>
      </c>
    </row>
    <row r="17" spans="1:3" ht="17.25" customHeight="1">
      <c r="A17" s="433" t="s">
        <v>23</v>
      </c>
      <c r="B17" s="434" t="s">
        <v>735</v>
      </c>
      <c r="C17" s="435">
        <f>C18+C21+C22+C23+C24</f>
        <v>210000</v>
      </c>
    </row>
    <row r="18" spans="1:3" ht="17.25" customHeight="1">
      <c r="A18" s="427"/>
      <c r="B18" s="117" t="s">
        <v>751</v>
      </c>
      <c r="C18" s="37">
        <f>C19+C20</f>
        <v>30000</v>
      </c>
    </row>
    <row r="19" spans="1:3" ht="17.25" customHeight="1">
      <c r="A19" s="427"/>
      <c r="B19" s="428" t="s">
        <v>752</v>
      </c>
      <c r="C19" s="37">
        <v>15000</v>
      </c>
    </row>
    <row r="20" spans="1:3" ht="17.25" customHeight="1">
      <c r="A20" s="427"/>
      <c r="B20" s="428" t="s">
        <v>753</v>
      </c>
      <c r="C20" s="37">
        <v>15000</v>
      </c>
    </row>
    <row r="21" spans="1:3" ht="17.25" customHeight="1">
      <c r="A21" s="427"/>
      <c r="B21" s="117" t="s">
        <v>754</v>
      </c>
      <c r="C21" s="37">
        <v>50000</v>
      </c>
    </row>
    <row r="22" spans="1:3" ht="16.5" customHeight="1">
      <c r="A22" s="427"/>
      <c r="B22" s="117" t="s">
        <v>755</v>
      </c>
      <c r="C22" s="37">
        <v>0</v>
      </c>
    </row>
    <row r="23" spans="1:3" ht="19.5" customHeight="1">
      <c r="A23" s="427"/>
      <c r="B23" s="436" t="s">
        <v>740</v>
      </c>
      <c r="C23" s="37">
        <v>130000</v>
      </c>
    </row>
    <row r="24" spans="1:3" ht="18" customHeight="1">
      <c r="A24" s="427"/>
      <c r="B24" s="117" t="s">
        <v>756</v>
      </c>
      <c r="C24" s="37">
        <v>0</v>
      </c>
    </row>
    <row r="25" spans="1:3" ht="15.75" customHeight="1">
      <c r="A25" s="452" t="s">
        <v>34</v>
      </c>
      <c r="B25" s="453" t="s">
        <v>757</v>
      </c>
      <c r="C25" s="81">
        <f>C26</f>
        <v>40000</v>
      </c>
    </row>
    <row r="26" spans="1:3" ht="25.5">
      <c r="A26" s="238"/>
      <c r="B26" s="454" t="s">
        <v>758</v>
      </c>
      <c r="C26" s="198">
        <v>40000</v>
      </c>
    </row>
    <row r="27" spans="1:3" ht="16.5" customHeight="1">
      <c r="A27" s="257" t="s">
        <v>682</v>
      </c>
      <c r="B27" s="81" t="s">
        <v>745</v>
      </c>
      <c r="C27" s="81">
        <f>C8+C13-C16</f>
        <v>81885</v>
      </c>
    </row>
    <row r="28" spans="1:3" ht="15.75" customHeight="1">
      <c r="A28" s="441" t="s">
        <v>23</v>
      </c>
      <c r="B28" s="442" t="s">
        <v>729</v>
      </c>
      <c r="C28" s="455">
        <v>84385</v>
      </c>
    </row>
    <row r="29" spans="1:3" ht="15" customHeight="1">
      <c r="A29" s="427" t="s">
        <v>34</v>
      </c>
      <c r="B29" s="428" t="s">
        <v>730</v>
      </c>
      <c r="C29" s="456">
        <v>5000</v>
      </c>
    </row>
    <row r="30" spans="1:3" ht="15" customHeight="1" thickBot="1">
      <c r="A30" s="444" t="s">
        <v>41</v>
      </c>
      <c r="B30" s="445" t="s">
        <v>731</v>
      </c>
      <c r="C30" s="457">
        <v>7500</v>
      </c>
    </row>
    <row r="33" spans="2:3" ht="12.75">
      <c r="B33" s="624" t="s">
        <v>759</v>
      </c>
      <c r="C33" s="624"/>
    </row>
    <row r="38" spans="1:3" ht="12.75">
      <c r="A38" s="32"/>
      <c r="B38" s="32"/>
      <c r="C38" s="627"/>
    </row>
    <row r="39" spans="1:3" ht="12" customHeight="1">
      <c r="A39" s="32"/>
      <c r="B39" s="32"/>
      <c r="C39" s="627"/>
    </row>
    <row r="40" spans="1:3" ht="14.25" customHeight="1">
      <c r="A40" s="625"/>
      <c r="B40" s="625"/>
      <c r="C40" s="32"/>
    </row>
    <row r="41" spans="1:3" ht="15.75">
      <c r="A41" s="459"/>
      <c r="B41" s="459"/>
      <c r="C41" s="458"/>
    </row>
    <row r="42" spans="1:3" ht="12.75">
      <c r="A42" s="32"/>
      <c r="B42" s="32"/>
      <c r="C42" s="460"/>
    </row>
    <row r="43" spans="1:3" ht="12.75">
      <c r="A43" s="283"/>
      <c r="B43" s="283"/>
      <c r="C43" s="461"/>
    </row>
    <row r="44" spans="1:3" ht="12.75">
      <c r="A44" s="283"/>
      <c r="B44" s="120"/>
      <c r="C44" s="120"/>
    </row>
    <row r="45" spans="1:3" ht="12.75">
      <c r="A45" s="462"/>
      <c r="B45" s="463"/>
      <c r="C45" s="32"/>
    </row>
    <row r="46" spans="1:3" ht="12.75">
      <c r="A46" s="462"/>
      <c r="B46" s="463"/>
      <c r="C46" s="32"/>
    </row>
    <row r="47" spans="1:3" ht="12.75">
      <c r="A47" s="462"/>
      <c r="B47" s="463"/>
      <c r="C47" s="32"/>
    </row>
    <row r="48" spans="1:3" ht="12.75">
      <c r="A48" s="462"/>
      <c r="B48" s="463"/>
      <c r="C48" s="32"/>
    </row>
    <row r="49" spans="1:3" ht="12.75">
      <c r="A49" s="283"/>
      <c r="B49" s="120"/>
      <c r="C49" s="120"/>
    </row>
    <row r="50" spans="1:3" ht="12.75">
      <c r="A50" s="462"/>
      <c r="B50" s="32"/>
      <c r="C50" s="32"/>
    </row>
    <row r="51" spans="1:3" ht="12.75">
      <c r="A51" s="283"/>
      <c r="B51" s="120"/>
      <c r="C51" s="120"/>
    </row>
    <row r="52" spans="1:3" ht="12.75">
      <c r="A52" s="283"/>
      <c r="B52" s="120"/>
      <c r="C52" s="120"/>
    </row>
    <row r="53" spans="1:3" ht="12.75">
      <c r="A53" s="462"/>
      <c r="B53" s="460"/>
      <c r="C53" s="32"/>
    </row>
    <row r="54" spans="1:3" ht="12.75">
      <c r="A54" s="462"/>
      <c r="B54" s="460"/>
      <c r="C54" s="32"/>
    </row>
    <row r="55" spans="1:3" ht="12.75">
      <c r="A55" s="464"/>
      <c r="B55" s="120"/>
      <c r="C55" s="120"/>
    </row>
    <row r="56" spans="1:3" ht="12.75">
      <c r="A56" s="462"/>
      <c r="B56" s="460"/>
      <c r="C56" s="32"/>
    </row>
    <row r="57" spans="1:3" ht="12.75">
      <c r="A57" s="283"/>
      <c r="B57" s="120"/>
      <c r="C57" s="120"/>
    </row>
    <row r="58" spans="1:3" ht="12.75">
      <c r="A58" s="462"/>
      <c r="B58" s="463"/>
      <c r="C58" s="32"/>
    </row>
    <row r="59" spans="1:3" ht="12.75">
      <c r="A59" s="462"/>
      <c r="B59" s="463"/>
      <c r="C59" s="465"/>
    </row>
    <row r="60" spans="1:3" ht="12.75">
      <c r="A60" s="462"/>
      <c r="B60" s="463"/>
      <c r="C60" s="465"/>
    </row>
    <row r="61" spans="1:3" ht="12.75">
      <c r="A61" s="32"/>
      <c r="B61" s="32"/>
      <c r="C61" s="32"/>
    </row>
    <row r="62" spans="1:3" ht="12.75">
      <c r="A62" s="32"/>
      <c r="B62" s="32"/>
      <c r="C62" s="32"/>
    </row>
    <row r="63" spans="1:3" ht="12.75">
      <c r="A63" s="32"/>
      <c r="B63" s="32"/>
      <c r="C63" s="32"/>
    </row>
    <row r="64" spans="1:3" ht="12.75">
      <c r="A64" s="32"/>
      <c r="B64" s="32"/>
      <c r="C64" s="32"/>
    </row>
    <row r="65" spans="1:3" ht="12.75">
      <c r="A65" s="32"/>
      <c r="B65" s="32"/>
      <c r="C65" s="32"/>
    </row>
    <row r="66" spans="1:3" ht="12.75">
      <c r="A66" s="32"/>
      <c r="B66" s="32"/>
      <c r="C66" s="32"/>
    </row>
    <row r="67" spans="1:3" ht="12.75">
      <c r="A67" s="32"/>
      <c r="B67" s="32"/>
      <c r="C67" s="32"/>
    </row>
    <row r="68" spans="1:3" ht="12.75">
      <c r="A68" s="32"/>
      <c r="B68" s="32"/>
      <c r="C68" s="32"/>
    </row>
    <row r="69" spans="1:3" ht="12.75">
      <c r="A69" s="32"/>
      <c r="B69" s="32"/>
      <c r="C69" s="32"/>
    </row>
    <row r="70" spans="1:3" ht="12.75">
      <c r="A70" s="32"/>
      <c r="B70" s="32"/>
      <c r="C70" s="32"/>
    </row>
    <row r="71" spans="1:3" ht="12.75">
      <c r="A71" s="32"/>
      <c r="B71" s="32"/>
      <c r="C71" s="32"/>
    </row>
    <row r="72" spans="1:3" ht="12.75">
      <c r="A72" s="32"/>
      <c r="B72" s="32"/>
      <c r="C72" s="32"/>
    </row>
    <row r="73" spans="1:3" ht="12.75">
      <c r="A73" s="32"/>
      <c r="B73" s="32"/>
      <c r="C73" s="32"/>
    </row>
    <row r="74" spans="1:3" ht="12.75">
      <c r="A74" s="32"/>
      <c r="B74" s="32"/>
      <c r="C74" s="32"/>
    </row>
    <row r="75" spans="1:3" ht="12.75">
      <c r="A75" s="32"/>
      <c r="B75" s="32"/>
      <c r="C75" s="32"/>
    </row>
    <row r="76" spans="1:3" ht="12.75">
      <c r="A76" s="32"/>
      <c r="B76" s="32"/>
      <c r="C76" s="32"/>
    </row>
    <row r="77" spans="1:3" ht="12.75">
      <c r="A77" s="32"/>
      <c r="B77" s="32"/>
      <c r="C77" s="32"/>
    </row>
  </sheetData>
  <mergeCells count="5">
    <mergeCell ref="A40:B40"/>
    <mergeCell ref="C1:C3"/>
    <mergeCell ref="C38:C39"/>
    <mergeCell ref="A4:C4"/>
    <mergeCell ref="B33:C3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6.625" style="0" customWidth="1"/>
    <col min="2" max="2" width="52.875" style="0" customWidth="1"/>
    <col min="3" max="3" width="16.375" style="0" customWidth="1"/>
    <col min="4" max="4" width="17.875" style="0" customWidth="1"/>
    <col min="5" max="5" width="9.625" style="0" bestFit="1" customWidth="1"/>
  </cols>
  <sheetData>
    <row r="1" spans="3:4" ht="45" customHeight="1">
      <c r="C1" s="622" t="s">
        <v>790</v>
      </c>
      <c r="D1" s="622"/>
    </row>
    <row r="2" spans="1:4" ht="77.25" customHeight="1">
      <c r="A2" s="628" t="s">
        <v>760</v>
      </c>
      <c r="B2" s="628"/>
      <c r="C2" s="628"/>
      <c r="D2" s="628"/>
    </row>
    <row r="3" spans="1:4" ht="24.75" customHeight="1">
      <c r="A3" s="258" t="s">
        <v>0</v>
      </c>
      <c r="B3" s="258" t="s">
        <v>761</v>
      </c>
      <c r="C3" s="258" t="s">
        <v>762</v>
      </c>
      <c r="D3" s="258" t="s">
        <v>763</v>
      </c>
    </row>
    <row r="4" spans="1:4" ht="12.75">
      <c r="A4" s="259">
        <v>1</v>
      </c>
      <c r="B4" s="259">
        <v>2</v>
      </c>
      <c r="C4" s="259">
        <v>4</v>
      </c>
      <c r="D4" s="259">
        <v>5</v>
      </c>
    </row>
    <row r="5" spans="1:5" ht="18.75" customHeight="1">
      <c r="A5" s="466" t="s">
        <v>23</v>
      </c>
      <c r="B5" s="93" t="s">
        <v>764</v>
      </c>
      <c r="C5" s="284"/>
      <c r="D5" s="77">
        <f>D6+D7</f>
        <v>140656</v>
      </c>
      <c r="E5" s="467"/>
    </row>
    <row r="6" spans="1:5" ht="17.25" customHeight="1">
      <c r="A6" s="468"/>
      <c r="B6" s="87" t="s">
        <v>765</v>
      </c>
      <c r="C6" s="299">
        <v>80120</v>
      </c>
      <c r="D6" s="469">
        <f>'[1]Z 2'!N227</f>
        <v>60742</v>
      </c>
      <c r="E6" s="467"/>
    </row>
    <row r="7" spans="1:4" ht="17.25" customHeight="1">
      <c r="A7" s="468"/>
      <c r="B7" s="87" t="s">
        <v>766</v>
      </c>
      <c r="C7" s="299">
        <v>80130</v>
      </c>
      <c r="D7" s="469">
        <f>'[1]Z 2'!N261</f>
        <v>79914</v>
      </c>
    </row>
    <row r="8" spans="1:4" ht="12.75" hidden="1">
      <c r="A8" s="468"/>
      <c r="B8" s="470" t="s">
        <v>767</v>
      </c>
      <c r="C8" s="302">
        <v>0</v>
      </c>
      <c r="D8" s="471">
        <v>0</v>
      </c>
    </row>
    <row r="9" spans="1:4" ht="24.75" customHeight="1">
      <c r="A9" s="472" t="s">
        <v>34</v>
      </c>
      <c r="B9" s="473" t="s">
        <v>768</v>
      </c>
      <c r="C9" s="474"/>
      <c r="D9" s="475">
        <f>D10+D11</f>
        <v>233656</v>
      </c>
    </row>
    <row r="10" spans="1:4" ht="18.75" customHeight="1">
      <c r="A10" s="468"/>
      <c r="B10" s="87" t="s">
        <v>769</v>
      </c>
      <c r="C10" s="299">
        <v>80120</v>
      </c>
      <c r="D10" s="469">
        <f>'[1]Z 2'!N228</f>
        <v>198661</v>
      </c>
    </row>
    <row r="11" spans="1:4" ht="18.75" customHeight="1">
      <c r="A11" s="468"/>
      <c r="B11" s="87" t="s">
        <v>770</v>
      </c>
      <c r="C11" s="299">
        <v>80130</v>
      </c>
      <c r="D11" s="469">
        <f>'[1]Z 2'!N262</f>
        <v>34995</v>
      </c>
    </row>
    <row r="12" spans="1:4" ht="12.75" hidden="1">
      <c r="A12" s="302" t="s">
        <v>63</v>
      </c>
      <c r="B12" s="476" t="s">
        <v>771</v>
      </c>
      <c r="C12" s="477"/>
      <c r="D12" s="478">
        <f>D13</f>
        <v>0</v>
      </c>
    </row>
    <row r="13" spans="1:4" ht="24" customHeight="1" hidden="1">
      <c r="A13" s="479"/>
      <c r="B13" s="470" t="s">
        <v>772</v>
      </c>
      <c r="C13" s="302">
        <v>0</v>
      </c>
      <c r="D13" s="471">
        <v>0</v>
      </c>
    </row>
    <row r="14" spans="1:5" ht="25.5" customHeight="1">
      <c r="A14" s="466" t="s">
        <v>41</v>
      </c>
      <c r="B14" s="482" t="s">
        <v>773</v>
      </c>
      <c r="C14" s="284"/>
      <c r="D14" s="77">
        <f>D15+D16+D17+D18</f>
        <v>708152</v>
      </c>
      <c r="E14" s="467"/>
    </row>
    <row r="15" spans="1:4" ht="12.75">
      <c r="A15" s="468"/>
      <c r="B15" s="483" t="s">
        <v>774</v>
      </c>
      <c r="C15" s="299">
        <v>80102</v>
      </c>
      <c r="D15" s="469">
        <f>'[1]Z 2'!N195</f>
        <v>212103</v>
      </c>
    </row>
    <row r="16" spans="1:4" ht="12.75">
      <c r="A16" s="468"/>
      <c r="B16" s="483" t="s">
        <v>775</v>
      </c>
      <c r="C16" s="299">
        <v>80105</v>
      </c>
      <c r="D16" s="469">
        <f>'[1]Z 2'!N197</f>
        <v>111982</v>
      </c>
    </row>
    <row r="17" spans="1:4" ht="12.75">
      <c r="A17" s="468"/>
      <c r="B17" s="483" t="s">
        <v>776</v>
      </c>
      <c r="C17" s="299">
        <v>80111</v>
      </c>
      <c r="D17" s="469">
        <f>'[1]Z 2'!N208</f>
        <v>239080</v>
      </c>
    </row>
    <row r="18" spans="1:4" ht="13.5" thickBot="1">
      <c r="A18" s="479"/>
      <c r="B18" s="484" t="s">
        <v>777</v>
      </c>
      <c r="C18" s="302">
        <v>80134</v>
      </c>
      <c r="D18" s="471">
        <f>'[1]Z 2'!N272</f>
        <v>144987</v>
      </c>
    </row>
    <row r="19" spans="1:4" ht="12.75" hidden="1">
      <c r="A19" s="468"/>
      <c r="B19" s="485"/>
      <c r="C19" s="468"/>
      <c r="D19" s="486"/>
    </row>
    <row r="20" spans="1:4" ht="13.5" customHeight="1" thickBot="1">
      <c r="A20" s="487"/>
      <c r="B20" s="488" t="s">
        <v>778</v>
      </c>
      <c r="C20" s="489"/>
      <c r="D20" s="490">
        <f>D5+D9+D14</f>
        <v>1082464</v>
      </c>
    </row>
    <row r="21" spans="1:4" ht="12.75">
      <c r="A21" s="308"/>
      <c r="B21" s="308"/>
      <c r="C21" s="308"/>
      <c r="D21" s="491"/>
    </row>
    <row r="22" spans="1:4" ht="12.75">
      <c r="A22" s="308"/>
      <c r="B22" s="308"/>
      <c r="C22" s="308"/>
      <c r="D22" s="491"/>
    </row>
    <row r="23" spans="1:4" ht="16.5" customHeight="1">
      <c r="A23" s="308"/>
      <c r="B23" s="308"/>
      <c r="C23" s="51" t="s">
        <v>631</v>
      </c>
      <c r="D23" s="491"/>
    </row>
    <row r="24" spans="3:4" ht="48" customHeight="1">
      <c r="C24" t="s">
        <v>779</v>
      </c>
      <c r="D24" s="467"/>
    </row>
    <row r="25" ht="12.75">
      <c r="D25" s="467"/>
    </row>
    <row r="26" ht="12.75">
      <c r="D26" s="467"/>
    </row>
    <row r="27" ht="12.75">
      <c r="D27" s="467"/>
    </row>
    <row r="28" ht="12.75">
      <c r="D28" s="467"/>
    </row>
    <row r="29" ht="12.75">
      <c r="D29" s="467"/>
    </row>
    <row r="30" ht="12.75">
      <c r="D30" s="467"/>
    </row>
    <row r="31" ht="12.75">
      <c r="D31" s="467"/>
    </row>
    <row r="32" ht="12.75">
      <c r="D32" s="467"/>
    </row>
    <row r="33" ht="12.75">
      <c r="D33" s="467"/>
    </row>
  </sheetData>
  <mergeCells count="2">
    <mergeCell ref="A2:D2"/>
    <mergeCell ref="C1:D1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38"/>
  <sheetViews>
    <sheetView zoomScaleSheetLayoutView="75" workbookViewId="0" topLeftCell="K1">
      <selection activeCell="O1" sqref="O1:Q1"/>
    </sheetView>
  </sheetViews>
  <sheetFormatPr defaultColWidth="9.00390625" defaultRowHeight="12.75"/>
  <cols>
    <col min="1" max="1" width="8.875" style="0" customWidth="1"/>
    <col min="2" max="2" width="7.25390625" style="0" customWidth="1"/>
    <col min="3" max="3" width="33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2.75390625" style="0" customWidth="1"/>
    <col min="12" max="12" width="11.625" style="0" customWidth="1"/>
    <col min="13" max="13" width="10.875" style="0" customWidth="1"/>
    <col min="14" max="14" width="13.25390625" style="0" customWidth="1"/>
    <col min="15" max="15" width="12.875" style="0" customWidth="1"/>
    <col min="16" max="16" width="13.00390625" style="0" customWidth="1"/>
    <col min="17" max="17" width="13.125" style="0" customWidth="1"/>
  </cols>
  <sheetData>
    <row r="1" spans="1:17" s="112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416" t="s">
        <v>781</v>
      </c>
      <c r="P1" s="416"/>
      <c r="Q1" s="416"/>
    </row>
    <row r="2" spans="1:26" s="112" customFormat="1" ht="15.75" thickBot="1">
      <c r="A2"/>
      <c r="B2" s="418" t="s">
        <v>199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156"/>
      <c r="S2" s="156"/>
      <c r="T2" s="156"/>
      <c r="U2" s="156"/>
      <c r="V2" s="417"/>
      <c r="W2" s="417"/>
      <c r="X2" s="417"/>
      <c r="Y2" s="417"/>
      <c r="Z2" s="417"/>
    </row>
    <row r="3" spans="1:17" s="112" customFormat="1" ht="19.5" customHeight="1" hidden="1" thickBot="1">
      <c r="A3"/>
      <c r="B3" s="157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</row>
    <row r="4" spans="1:17" s="112" customFormat="1" ht="10.5" customHeight="1" thickBot="1">
      <c r="A4" s="519" t="s">
        <v>200</v>
      </c>
      <c r="B4" s="517" t="s">
        <v>22</v>
      </c>
      <c r="C4" s="525" t="s">
        <v>201</v>
      </c>
      <c r="D4" s="158"/>
      <c r="E4" s="158"/>
      <c r="F4" s="158"/>
      <c r="G4" s="158"/>
      <c r="H4" s="525" t="s">
        <v>202</v>
      </c>
      <c r="I4" s="523" t="s">
        <v>203</v>
      </c>
      <c r="J4" s="524"/>
      <c r="K4" s="525" t="s">
        <v>204</v>
      </c>
      <c r="L4" s="525" t="s">
        <v>205</v>
      </c>
      <c r="M4" s="535" t="s">
        <v>206</v>
      </c>
      <c r="N4" s="525" t="s">
        <v>9</v>
      </c>
      <c r="O4" s="273" t="s">
        <v>207</v>
      </c>
      <c r="P4" s="242"/>
      <c r="Q4" s="243"/>
    </row>
    <row r="5" spans="1:17" s="112" customFormat="1" ht="9" customHeight="1">
      <c r="A5" s="520"/>
      <c r="B5" s="518"/>
      <c r="C5" s="526"/>
      <c r="D5" s="291" t="s">
        <v>208</v>
      </c>
      <c r="E5" s="394" t="s">
        <v>11</v>
      </c>
      <c r="F5" s="394" t="s">
        <v>209</v>
      </c>
      <c r="G5" s="528" t="s">
        <v>210</v>
      </c>
      <c r="H5" s="526"/>
      <c r="I5" s="272" t="s">
        <v>14</v>
      </c>
      <c r="J5" s="521" t="s">
        <v>15</v>
      </c>
      <c r="K5" s="526"/>
      <c r="L5" s="526"/>
      <c r="M5" s="536"/>
      <c r="N5" s="526"/>
      <c r="O5" s="228"/>
      <c r="P5" s="199"/>
      <c r="Q5" s="200"/>
    </row>
    <row r="6" spans="1:17" s="112" customFormat="1" ht="6.75" customHeight="1" thickBot="1">
      <c r="A6" s="520"/>
      <c r="B6" s="518"/>
      <c r="C6" s="526"/>
      <c r="D6" s="292"/>
      <c r="E6" s="394"/>
      <c r="F6" s="394"/>
      <c r="G6" s="528"/>
      <c r="H6" s="526"/>
      <c r="I6" s="534"/>
      <c r="J6" s="522"/>
      <c r="K6" s="526"/>
      <c r="L6" s="526"/>
      <c r="M6" s="536"/>
      <c r="N6" s="526"/>
      <c r="O6" s="159"/>
      <c r="P6" s="26"/>
      <c r="Q6" s="514"/>
    </row>
    <row r="7" spans="1:17" s="112" customFormat="1" ht="19.5" customHeight="1" thickBot="1">
      <c r="A7" s="520"/>
      <c r="B7" s="518"/>
      <c r="C7" s="526"/>
      <c r="D7" s="272"/>
      <c r="E7" s="365"/>
      <c r="F7" s="365"/>
      <c r="G7" s="529"/>
      <c r="H7" s="526"/>
      <c r="I7" s="534"/>
      <c r="J7" s="522"/>
      <c r="K7" s="532"/>
      <c r="L7" s="532"/>
      <c r="M7" s="537"/>
      <c r="N7" s="532"/>
      <c r="O7" s="160" t="s">
        <v>211</v>
      </c>
      <c r="P7" s="160" t="s">
        <v>212</v>
      </c>
      <c r="Q7" s="160" t="s">
        <v>213</v>
      </c>
    </row>
    <row r="8" spans="1:17" s="112" customFormat="1" ht="12" customHeight="1" thickBot="1">
      <c r="A8" s="161">
        <v>1</v>
      </c>
      <c r="B8" s="162">
        <v>2</v>
      </c>
      <c r="C8" s="163">
        <v>3</v>
      </c>
      <c r="D8" s="163">
        <v>4</v>
      </c>
      <c r="E8" s="163">
        <v>4</v>
      </c>
      <c r="F8" s="163">
        <v>5</v>
      </c>
      <c r="G8" s="163">
        <v>6</v>
      </c>
      <c r="H8" s="163">
        <v>5</v>
      </c>
      <c r="I8" s="163"/>
      <c r="J8" s="163"/>
      <c r="K8" s="164">
        <v>5</v>
      </c>
      <c r="L8" s="164">
        <v>6</v>
      </c>
      <c r="M8" s="164">
        <v>7</v>
      </c>
      <c r="N8" s="164">
        <v>8</v>
      </c>
      <c r="O8" s="165">
        <v>9</v>
      </c>
      <c r="P8" s="163">
        <v>10</v>
      </c>
      <c r="Q8" s="163">
        <v>11</v>
      </c>
    </row>
    <row r="9" spans="1:17" s="112" customFormat="1" ht="15" customHeight="1">
      <c r="A9" s="166" t="s">
        <v>25</v>
      </c>
      <c r="B9" s="530"/>
      <c r="C9" s="167" t="s">
        <v>214</v>
      </c>
      <c r="D9" s="167">
        <f>D10+D27</f>
        <v>303000</v>
      </c>
      <c r="E9" s="167">
        <f>E10+E27</f>
        <v>373400</v>
      </c>
      <c r="F9" s="167">
        <f>F10+F27</f>
        <v>0</v>
      </c>
      <c r="G9" s="167">
        <f>G10+G27</f>
        <v>0</v>
      </c>
      <c r="H9" s="167">
        <f>H10+H27+H25+H29</f>
        <v>91800</v>
      </c>
      <c r="I9" s="167">
        <f>I10+I27+I25+I29</f>
        <v>0</v>
      </c>
      <c r="J9" s="167">
        <f>J10+J27+J25+J29</f>
        <v>0</v>
      </c>
      <c r="K9" s="167">
        <f aca="true" t="shared" si="0" ref="K9:Q9">K27+K29</f>
        <v>31700</v>
      </c>
      <c r="L9" s="167">
        <f t="shared" si="0"/>
        <v>0</v>
      </c>
      <c r="M9" s="167">
        <f t="shared" si="0"/>
        <v>0</v>
      </c>
      <c r="N9" s="167">
        <f t="shared" si="0"/>
        <v>31700</v>
      </c>
      <c r="O9" s="167">
        <f t="shared" si="0"/>
        <v>30000</v>
      </c>
      <c r="P9" s="167">
        <f t="shared" si="0"/>
        <v>0</v>
      </c>
      <c r="Q9" s="167">
        <f t="shared" si="0"/>
        <v>1700</v>
      </c>
    </row>
    <row r="10" spans="1:17" s="112" customFormat="1" ht="17.25" customHeight="1" hidden="1">
      <c r="A10" s="168" t="s">
        <v>215</v>
      </c>
      <c r="B10" s="531"/>
      <c r="C10" s="81" t="s">
        <v>216</v>
      </c>
      <c r="D10" s="81">
        <f>D13+D14+D15+D16+D24</f>
        <v>303000</v>
      </c>
      <c r="E10" s="81">
        <f>E12+E13+E14+E15+E16+E17+E18+E19+E21+E22+E24+E11</f>
        <v>336000</v>
      </c>
      <c r="F10" s="81">
        <f>F12+F13+F14+F15+F16+F17+F18+F19+F21+F22+F11</f>
        <v>0</v>
      </c>
      <c r="G10" s="81">
        <f>G12+G13+G14+G15+G16+G17+G18+G19+G21+G22+G24+G11</f>
        <v>0</v>
      </c>
      <c r="H10" s="81">
        <f>H12+H13+H14+H15+H16+H17+H18+H19+H21+H22+H24+H11+H20+H23</f>
        <v>45600</v>
      </c>
      <c r="I10" s="81">
        <f>I12+I13+I14+I15+I16+I17+I18+I19+I21+I22+I24+I11+I20+I23</f>
        <v>0</v>
      </c>
      <c r="J10" s="81">
        <f>J12+J13+J14+J15+J16+J17+J18+J19+J21+J22+J24+J11+J20+J23</f>
        <v>0</v>
      </c>
      <c r="K10" s="81">
        <f>K12+K13+K14+K15+K16+K17+K18+K19+K21+K22+K24+K11+K20+K23</f>
        <v>0</v>
      </c>
      <c r="L10" s="81"/>
      <c r="M10" s="81"/>
      <c r="N10" s="81"/>
      <c r="O10" s="81" t="e">
        <f>O11+O12+O13+O14+O15+O16+O17+O18+O19+O21+O22+O24+O23+O20</f>
        <v>#REF!</v>
      </c>
      <c r="P10" s="169">
        <f>P11+P12+P13+P14+P15+P16+P17+P18+P19+P21+P22+P24</f>
        <v>0</v>
      </c>
      <c r="Q10" s="169">
        <f>Q11+Q12+Q13+Q14+Q15+Q16+Q17+Q18+Q19+Q21+Q22+Q24</f>
        <v>0</v>
      </c>
    </row>
    <row r="11" spans="1:17" s="112" customFormat="1" ht="12" customHeight="1" hidden="1">
      <c r="A11" s="168"/>
      <c r="B11" s="36" t="s">
        <v>217</v>
      </c>
      <c r="C11" s="49" t="s">
        <v>218</v>
      </c>
      <c r="D11" s="49"/>
      <c r="E11" s="49">
        <v>4100</v>
      </c>
      <c r="F11" s="49">
        <v>0</v>
      </c>
      <c r="G11" s="49">
        <v>0</v>
      </c>
      <c r="H11" s="49"/>
      <c r="I11" s="49"/>
      <c r="J11" s="49"/>
      <c r="K11" s="49"/>
      <c r="L11" s="49"/>
      <c r="M11" s="49"/>
      <c r="N11" s="49"/>
      <c r="O11" s="49"/>
      <c r="P11" s="170"/>
      <c r="Q11" s="170"/>
    </row>
    <row r="12" spans="1:17" s="112" customFormat="1" ht="14.25" customHeight="1" hidden="1">
      <c r="A12" s="168"/>
      <c r="B12" s="36" t="s">
        <v>219</v>
      </c>
      <c r="C12" s="89" t="s">
        <v>220</v>
      </c>
      <c r="D12" s="49"/>
      <c r="E12" s="49">
        <v>1760</v>
      </c>
      <c r="F12" s="49">
        <v>0</v>
      </c>
      <c r="G12" s="49">
        <v>0</v>
      </c>
      <c r="H12" s="49"/>
      <c r="I12" s="49"/>
      <c r="J12" s="49"/>
      <c r="K12" s="49"/>
      <c r="L12" s="49"/>
      <c r="M12" s="49"/>
      <c r="N12" s="49"/>
      <c r="O12" s="49"/>
      <c r="P12" s="170"/>
      <c r="Q12" s="170"/>
    </row>
    <row r="13" spans="1:17" s="112" customFormat="1" ht="0.75" customHeight="1" hidden="1">
      <c r="A13" s="527"/>
      <c r="B13" s="36" t="s">
        <v>221</v>
      </c>
      <c r="C13" s="75" t="s">
        <v>222</v>
      </c>
      <c r="D13" s="37">
        <v>70035</v>
      </c>
      <c r="E13" s="37">
        <v>72840</v>
      </c>
      <c r="F13" s="37">
        <v>0</v>
      </c>
      <c r="G13" s="37">
        <v>0</v>
      </c>
      <c r="H13" s="37">
        <v>14972</v>
      </c>
      <c r="I13" s="37">
        <v>0</v>
      </c>
      <c r="J13" s="37">
        <v>0</v>
      </c>
      <c r="K13" s="37">
        <v>0</v>
      </c>
      <c r="L13" s="37"/>
      <c r="M13" s="37"/>
      <c r="N13" s="37"/>
      <c r="O13" s="37">
        <f aca="true" t="shared" si="1" ref="O13:O22">N13</f>
        <v>0</v>
      </c>
      <c r="P13" s="172">
        <v>0</v>
      </c>
      <c r="Q13" s="172">
        <v>0</v>
      </c>
    </row>
    <row r="14" spans="1:17" s="112" customFormat="1" ht="26.25" customHeight="1" hidden="1">
      <c r="A14" s="527"/>
      <c r="B14" s="36" t="s">
        <v>223</v>
      </c>
      <c r="C14" s="75" t="s">
        <v>224</v>
      </c>
      <c r="D14" s="37">
        <v>149465</v>
      </c>
      <c r="E14" s="37">
        <v>158968</v>
      </c>
      <c r="F14" s="37">
        <v>0</v>
      </c>
      <c r="G14" s="37">
        <v>0</v>
      </c>
      <c r="H14" s="37">
        <v>19680</v>
      </c>
      <c r="I14" s="37">
        <v>0</v>
      </c>
      <c r="J14" s="37">
        <v>0</v>
      </c>
      <c r="K14" s="37">
        <v>0</v>
      </c>
      <c r="L14" s="37"/>
      <c r="M14" s="37"/>
      <c r="N14" s="37"/>
      <c r="O14" s="37">
        <f t="shared" si="1"/>
        <v>0</v>
      </c>
      <c r="P14" s="172">
        <v>0</v>
      </c>
      <c r="Q14" s="172">
        <v>0</v>
      </c>
    </row>
    <row r="15" spans="1:17" s="112" customFormat="1" ht="18" customHeight="1" hidden="1">
      <c r="A15" s="527"/>
      <c r="B15" s="36" t="s">
        <v>225</v>
      </c>
      <c r="C15" s="75" t="s">
        <v>226</v>
      </c>
      <c r="D15" s="37">
        <v>16347</v>
      </c>
      <c r="E15" s="37">
        <v>17570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/>
      <c r="L15" s="37"/>
      <c r="M15" s="37"/>
      <c r="N15" s="37"/>
      <c r="O15" s="37">
        <f t="shared" si="1"/>
        <v>0</v>
      </c>
      <c r="P15" s="172">
        <v>0</v>
      </c>
      <c r="Q15" s="172">
        <v>0</v>
      </c>
    </row>
    <row r="16" spans="1:17" s="112" customFormat="1" ht="13.5" customHeight="1" hidden="1">
      <c r="A16" s="527"/>
      <c r="B16" s="173" t="s">
        <v>227</v>
      </c>
      <c r="C16" s="75" t="s">
        <v>228</v>
      </c>
      <c r="D16" s="37">
        <v>45328</v>
      </c>
      <c r="E16" s="37">
        <v>39440</v>
      </c>
      <c r="F16" s="37">
        <v>0</v>
      </c>
      <c r="G16" s="37">
        <v>0</v>
      </c>
      <c r="H16" s="37">
        <v>6303</v>
      </c>
      <c r="I16" s="37">
        <v>0</v>
      </c>
      <c r="J16" s="37">
        <v>0</v>
      </c>
      <c r="K16" s="37">
        <v>0</v>
      </c>
      <c r="L16" s="37"/>
      <c r="M16" s="37"/>
      <c r="N16" s="37"/>
      <c r="O16" s="37">
        <f t="shared" si="1"/>
        <v>0</v>
      </c>
      <c r="P16" s="172">
        <v>0</v>
      </c>
      <c r="Q16" s="172">
        <v>0</v>
      </c>
    </row>
    <row r="17" spans="1:17" s="112" customFormat="1" ht="13.5" customHeight="1" hidden="1">
      <c r="A17" s="527"/>
      <c r="B17" s="173" t="s">
        <v>229</v>
      </c>
      <c r="C17" s="75" t="s">
        <v>230</v>
      </c>
      <c r="D17" s="37"/>
      <c r="E17" s="37">
        <v>5404</v>
      </c>
      <c r="F17" s="37">
        <v>0</v>
      </c>
      <c r="G17" s="37">
        <v>0</v>
      </c>
      <c r="H17" s="37">
        <v>849</v>
      </c>
      <c r="I17" s="37">
        <v>0</v>
      </c>
      <c r="J17" s="37">
        <v>0</v>
      </c>
      <c r="K17" s="37">
        <v>0</v>
      </c>
      <c r="L17" s="37"/>
      <c r="M17" s="37"/>
      <c r="N17" s="37"/>
      <c r="O17" s="37">
        <f t="shared" si="1"/>
        <v>0</v>
      </c>
      <c r="P17" s="172">
        <v>0</v>
      </c>
      <c r="Q17" s="172">
        <v>0</v>
      </c>
    </row>
    <row r="18" spans="1:17" s="112" customFormat="1" ht="13.5" customHeight="1" hidden="1">
      <c r="A18" s="527"/>
      <c r="B18" s="173" t="s">
        <v>231</v>
      </c>
      <c r="C18" s="75" t="s">
        <v>232</v>
      </c>
      <c r="D18" s="37"/>
      <c r="E18" s="37">
        <v>14688</v>
      </c>
      <c r="F18" s="37">
        <v>0</v>
      </c>
      <c r="G18" s="37">
        <v>0</v>
      </c>
      <c r="H18" s="37">
        <v>2134</v>
      </c>
      <c r="I18" s="37">
        <v>0</v>
      </c>
      <c r="J18" s="37">
        <v>0</v>
      </c>
      <c r="K18" s="37">
        <v>0</v>
      </c>
      <c r="L18" s="37"/>
      <c r="M18" s="37"/>
      <c r="N18" s="37"/>
      <c r="O18" s="37">
        <f t="shared" si="1"/>
        <v>0</v>
      </c>
      <c r="P18" s="172">
        <v>0</v>
      </c>
      <c r="Q18" s="172">
        <v>0</v>
      </c>
    </row>
    <row r="19" spans="1:17" s="112" customFormat="1" ht="0.75" customHeight="1" hidden="1">
      <c r="A19" s="527"/>
      <c r="B19" s="173" t="s">
        <v>233</v>
      </c>
      <c r="C19" s="75" t="s">
        <v>234</v>
      </c>
      <c r="D19" s="37"/>
      <c r="E19" s="37">
        <v>950</v>
      </c>
      <c r="F19" s="37">
        <v>0</v>
      </c>
      <c r="G19" s="37">
        <v>0</v>
      </c>
      <c r="H19" s="37">
        <v>714</v>
      </c>
      <c r="I19" s="37">
        <v>0</v>
      </c>
      <c r="J19" s="37">
        <v>0</v>
      </c>
      <c r="K19" s="37">
        <v>0</v>
      </c>
      <c r="L19" s="37"/>
      <c r="M19" s="37"/>
      <c r="N19" s="37"/>
      <c r="O19" s="37">
        <f t="shared" si="1"/>
        <v>0</v>
      </c>
      <c r="P19" s="172">
        <v>0</v>
      </c>
      <c r="Q19" s="172">
        <v>0</v>
      </c>
    </row>
    <row r="20" spans="1:17" s="112" customFormat="1" ht="15" customHeight="1" hidden="1">
      <c r="A20" s="527"/>
      <c r="B20" s="173" t="s">
        <v>235</v>
      </c>
      <c r="C20" s="75" t="s">
        <v>236</v>
      </c>
      <c r="D20" s="37"/>
      <c r="E20" s="37"/>
      <c r="F20" s="37"/>
      <c r="G20" s="37"/>
      <c r="H20" s="37">
        <v>0</v>
      </c>
      <c r="I20" s="37">
        <v>0</v>
      </c>
      <c r="J20" s="37">
        <v>0</v>
      </c>
      <c r="K20" s="37"/>
      <c r="L20" s="37"/>
      <c r="M20" s="37"/>
      <c r="N20" s="37"/>
      <c r="O20" s="37">
        <f t="shared" si="1"/>
        <v>0</v>
      </c>
      <c r="P20" s="172">
        <v>0</v>
      </c>
      <c r="Q20" s="172">
        <v>0</v>
      </c>
    </row>
    <row r="21" spans="1:17" s="112" customFormat="1" ht="15.75" customHeight="1" hidden="1">
      <c r="A21" s="527"/>
      <c r="B21" s="173" t="s">
        <v>237</v>
      </c>
      <c r="C21" s="75" t="s">
        <v>238</v>
      </c>
      <c r="D21" s="37"/>
      <c r="E21" s="37">
        <v>15626</v>
      </c>
      <c r="F21" s="37">
        <v>0</v>
      </c>
      <c r="G21" s="37">
        <v>0</v>
      </c>
      <c r="H21" s="37">
        <v>779</v>
      </c>
      <c r="I21" s="37">
        <v>0</v>
      </c>
      <c r="J21" s="37">
        <v>0</v>
      </c>
      <c r="K21" s="37">
        <v>0</v>
      </c>
      <c r="L21" s="37"/>
      <c r="M21" s="37"/>
      <c r="N21" s="37"/>
      <c r="O21" s="37">
        <f t="shared" si="1"/>
        <v>0</v>
      </c>
      <c r="P21" s="172">
        <v>0</v>
      </c>
      <c r="Q21" s="172">
        <v>0</v>
      </c>
    </row>
    <row r="22" spans="1:17" s="112" customFormat="1" ht="16.5" customHeight="1" hidden="1">
      <c r="A22" s="527"/>
      <c r="B22" s="173" t="s">
        <v>239</v>
      </c>
      <c r="C22" s="75" t="s">
        <v>240</v>
      </c>
      <c r="D22" s="37"/>
      <c r="E22" s="37">
        <v>0</v>
      </c>
      <c r="F22" s="37">
        <v>0</v>
      </c>
      <c r="G22" s="37">
        <v>0</v>
      </c>
      <c r="H22" s="37">
        <v>169</v>
      </c>
      <c r="I22" s="37">
        <v>0</v>
      </c>
      <c r="J22" s="37">
        <v>0</v>
      </c>
      <c r="K22" s="37">
        <v>0</v>
      </c>
      <c r="L22" s="37"/>
      <c r="M22" s="37"/>
      <c r="N22" s="37"/>
      <c r="O22" s="37">
        <f t="shared" si="1"/>
        <v>0</v>
      </c>
      <c r="P22" s="172">
        <v>0</v>
      </c>
      <c r="Q22" s="172">
        <v>0</v>
      </c>
    </row>
    <row r="23" spans="1:17" s="112" customFormat="1" ht="16.5" customHeight="1" hidden="1">
      <c r="A23" s="527"/>
      <c r="B23" s="173" t="s">
        <v>241</v>
      </c>
      <c r="C23" s="75" t="s">
        <v>242</v>
      </c>
      <c r="D23" s="37"/>
      <c r="E23" s="37"/>
      <c r="F23" s="37"/>
      <c r="G23" s="37"/>
      <c r="H23" s="37">
        <v>0</v>
      </c>
      <c r="I23" s="37">
        <v>0</v>
      </c>
      <c r="J23" s="37">
        <v>0</v>
      </c>
      <c r="K23" s="37"/>
      <c r="L23" s="37"/>
      <c r="M23" s="37"/>
      <c r="N23" s="37"/>
      <c r="O23" s="37" t="e">
        <f>#REF!</f>
        <v>#REF!</v>
      </c>
      <c r="P23" s="172">
        <v>0</v>
      </c>
      <c r="Q23" s="172">
        <v>0</v>
      </c>
    </row>
    <row r="24" spans="1:17" s="112" customFormat="1" ht="16.5" customHeight="1" hidden="1">
      <c r="A24" s="527"/>
      <c r="B24" s="36" t="s">
        <v>243</v>
      </c>
      <c r="C24" s="37" t="s">
        <v>244</v>
      </c>
      <c r="D24" s="37">
        <v>21825</v>
      </c>
      <c r="E24" s="37">
        <v>4654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/>
      <c r="L24" s="37"/>
      <c r="M24" s="37"/>
      <c r="N24" s="37"/>
      <c r="O24" s="37" t="e">
        <f>#REF!</f>
        <v>#REF!</v>
      </c>
      <c r="P24" s="172">
        <v>0</v>
      </c>
      <c r="Q24" s="172">
        <v>0</v>
      </c>
    </row>
    <row r="25" spans="1:17" s="112" customFormat="1" ht="27.75" customHeight="1" hidden="1">
      <c r="A25" s="174" t="s">
        <v>245</v>
      </c>
      <c r="B25" s="76"/>
      <c r="C25" s="93" t="s">
        <v>246</v>
      </c>
      <c r="D25" s="81"/>
      <c r="E25" s="81"/>
      <c r="F25" s="81"/>
      <c r="G25" s="81"/>
      <c r="H25" s="81">
        <f>H26</f>
        <v>0</v>
      </c>
      <c r="I25" s="81">
        <f>I26</f>
        <v>0</v>
      </c>
      <c r="J25" s="81">
        <f>J26</f>
        <v>0</v>
      </c>
      <c r="K25" s="81"/>
      <c r="L25" s="81"/>
      <c r="M25" s="81"/>
      <c r="N25" s="81"/>
      <c r="O25" s="81" t="e">
        <f>O26</f>
        <v>#REF!</v>
      </c>
      <c r="P25" s="81">
        <f>P26</f>
        <v>0</v>
      </c>
      <c r="Q25" s="81">
        <f>Q26</f>
        <v>0</v>
      </c>
    </row>
    <row r="26" spans="1:17" s="112" customFormat="1" ht="18.75" customHeight="1" hidden="1">
      <c r="A26" s="174"/>
      <c r="B26" s="45" t="s">
        <v>231</v>
      </c>
      <c r="C26" s="42" t="s">
        <v>232</v>
      </c>
      <c r="D26" s="49"/>
      <c r="E26" s="49"/>
      <c r="F26" s="49"/>
      <c r="G26" s="49"/>
      <c r="H26" s="49">
        <v>0</v>
      </c>
      <c r="I26" s="49">
        <v>0</v>
      </c>
      <c r="J26" s="49">
        <v>0</v>
      </c>
      <c r="K26" s="49"/>
      <c r="L26" s="49"/>
      <c r="M26" s="49"/>
      <c r="N26" s="49"/>
      <c r="O26" s="49" t="e">
        <f>#REF!</f>
        <v>#REF!</v>
      </c>
      <c r="P26" s="172">
        <v>0</v>
      </c>
      <c r="Q26" s="172">
        <v>0</v>
      </c>
    </row>
    <row r="27" spans="1:17" s="112" customFormat="1" ht="21" customHeight="1">
      <c r="A27" s="175" t="s">
        <v>28</v>
      </c>
      <c r="B27" s="176"/>
      <c r="C27" s="177" t="s">
        <v>247</v>
      </c>
      <c r="D27" s="178">
        <f aca="true" t="shared" si="2" ref="D27:Q27">D28</f>
        <v>0</v>
      </c>
      <c r="E27" s="178">
        <f t="shared" si="2"/>
        <v>37400</v>
      </c>
      <c r="F27" s="178">
        <f t="shared" si="2"/>
        <v>0</v>
      </c>
      <c r="G27" s="178">
        <f t="shared" si="2"/>
        <v>0</v>
      </c>
      <c r="H27" s="178">
        <f t="shared" si="2"/>
        <v>45000</v>
      </c>
      <c r="I27" s="178">
        <f t="shared" si="2"/>
        <v>0</v>
      </c>
      <c r="J27" s="178">
        <f t="shared" si="2"/>
        <v>0</v>
      </c>
      <c r="K27" s="178">
        <f t="shared" si="2"/>
        <v>30000</v>
      </c>
      <c r="L27" s="178">
        <f t="shared" si="2"/>
        <v>0</v>
      </c>
      <c r="M27" s="178">
        <f t="shared" si="2"/>
        <v>0</v>
      </c>
      <c r="N27" s="178">
        <f t="shared" si="2"/>
        <v>30000</v>
      </c>
      <c r="O27" s="178">
        <f t="shared" si="2"/>
        <v>30000</v>
      </c>
      <c r="P27" s="179">
        <f t="shared" si="2"/>
        <v>0</v>
      </c>
      <c r="Q27" s="179">
        <f t="shared" si="2"/>
        <v>0</v>
      </c>
    </row>
    <row r="28" spans="1:17" s="112" customFormat="1" ht="15.75" customHeight="1">
      <c r="A28" s="171"/>
      <c r="B28" s="36" t="s">
        <v>237</v>
      </c>
      <c r="C28" s="180" t="s">
        <v>238</v>
      </c>
      <c r="D28" s="37">
        <v>0</v>
      </c>
      <c r="E28" s="37">
        <v>37400</v>
      </c>
      <c r="F28" s="37">
        <v>0</v>
      </c>
      <c r="G28" s="37">
        <v>0</v>
      </c>
      <c r="H28" s="37">
        <v>45000</v>
      </c>
      <c r="I28" s="37">
        <v>0</v>
      </c>
      <c r="J28" s="37">
        <v>0</v>
      </c>
      <c r="K28" s="37">
        <v>30000</v>
      </c>
      <c r="L28" s="37"/>
      <c r="M28" s="37"/>
      <c r="N28" s="37">
        <f aca="true" t="shared" si="3" ref="N28:N91">K28+L28-M28</f>
        <v>30000</v>
      </c>
      <c r="O28" s="37">
        <f>N28</f>
        <v>30000</v>
      </c>
      <c r="P28" s="172">
        <v>0</v>
      </c>
      <c r="Q28" s="172">
        <v>0</v>
      </c>
    </row>
    <row r="29" spans="1:17" s="112" customFormat="1" ht="15.75" customHeight="1">
      <c r="A29" s="175" t="s">
        <v>31</v>
      </c>
      <c r="B29" s="176"/>
      <c r="C29" s="181" t="s">
        <v>30</v>
      </c>
      <c r="D29" s="178"/>
      <c r="E29" s="178"/>
      <c r="F29" s="178"/>
      <c r="G29" s="178"/>
      <c r="H29" s="178">
        <f aca="true" t="shared" si="4" ref="H29:M29">H30</f>
        <v>1200</v>
      </c>
      <c r="I29" s="178">
        <f t="shared" si="4"/>
        <v>0</v>
      </c>
      <c r="J29" s="178">
        <f t="shared" si="4"/>
        <v>0</v>
      </c>
      <c r="K29" s="178">
        <f t="shared" si="4"/>
        <v>1700</v>
      </c>
      <c r="L29" s="178">
        <f t="shared" si="4"/>
        <v>0</v>
      </c>
      <c r="M29" s="178">
        <f t="shared" si="4"/>
        <v>0</v>
      </c>
      <c r="N29" s="178">
        <f t="shared" si="3"/>
        <v>1700</v>
      </c>
      <c r="O29" s="178">
        <f>O30</f>
        <v>0</v>
      </c>
      <c r="P29" s="178">
        <f>P30</f>
        <v>0</v>
      </c>
      <c r="Q29" s="178">
        <f>Q30</f>
        <v>1700</v>
      </c>
    </row>
    <row r="30" spans="1:17" s="112" customFormat="1" ht="24" customHeight="1">
      <c r="A30" s="171"/>
      <c r="B30" s="36" t="s">
        <v>248</v>
      </c>
      <c r="C30" s="180" t="s">
        <v>249</v>
      </c>
      <c r="D30" s="37"/>
      <c r="E30" s="37"/>
      <c r="F30" s="37"/>
      <c r="G30" s="37"/>
      <c r="H30" s="37">
        <v>1200</v>
      </c>
      <c r="I30" s="37">
        <v>0</v>
      </c>
      <c r="J30" s="37">
        <v>0</v>
      </c>
      <c r="K30" s="37">
        <v>1700</v>
      </c>
      <c r="L30" s="37"/>
      <c r="M30" s="37"/>
      <c r="N30" s="37">
        <f t="shared" si="3"/>
        <v>1700</v>
      </c>
      <c r="O30" s="37">
        <v>0</v>
      </c>
      <c r="P30" s="172">
        <v>0</v>
      </c>
      <c r="Q30" s="172">
        <f>N30</f>
        <v>1700</v>
      </c>
    </row>
    <row r="31" spans="1:17" s="112" customFormat="1" ht="15" customHeight="1">
      <c r="A31" s="182" t="s">
        <v>36</v>
      </c>
      <c r="B31" s="531"/>
      <c r="C31" s="183" t="s">
        <v>250</v>
      </c>
      <c r="D31" s="183">
        <f aca="true" t="shared" si="5" ref="D31:G32">D32</f>
        <v>29992</v>
      </c>
      <c r="E31" s="183">
        <f t="shared" si="5"/>
        <v>21000</v>
      </c>
      <c r="F31" s="183">
        <f t="shared" si="5"/>
        <v>0</v>
      </c>
      <c r="G31" s="183">
        <f t="shared" si="5"/>
        <v>0</v>
      </c>
      <c r="H31" s="183">
        <f aca="true" t="shared" si="6" ref="H31:M31">H32+H34</f>
        <v>94025</v>
      </c>
      <c r="I31" s="183">
        <f t="shared" si="6"/>
        <v>0</v>
      </c>
      <c r="J31" s="183">
        <f t="shared" si="6"/>
        <v>0</v>
      </c>
      <c r="K31" s="183">
        <f t="shared" si="6"/>
        <v>153909</v>
      </c>
      <c r="L31" s="183">
        <f t="shared" si="6"/>
        <v>0</v>
      </c>
      <c r="M31" s="183">
        <f t="shared" si="6"/>
        <v>0</v>
      </c>
      <c r="N31" s="183">
        <f t="shared" si="3"/>
        <v>153909</v>
      </c>
      <c r="O31" s="183">
        <f>O32+O34</f>
        <v>0</v>
      </c>
      <c r="P31" s="183">
        <f>P32+P34</f>
        <v>153909</v>
      </c>
      <c r="Q31" s="183">
        <f>Q32+Q34</f>
        <v>0</v>
      </c>
    </row>
    <row r="32" spans="1:17" s="112" customFormat="1" ht="13.5" customHeight="1">
      <c r="A32" s="168" t="s">
        <v>38</v>
      </c>
      <c r="B32" s="531"/>
      <c r="C32" s="178" t="s">
        <v>37</v>
      </c>
      <c r="D32" s="178">
        <f t="shared" si="5"/>
        <v>29992</v>
      </c>
      <c r="E32" s="178">
        <f t="shared" si="5"/>
        <v>21000</v>
      </c>
      <c r="F32" s="178">
        <f t="shared" si="5"/>
        <v>0</v>
      </c>
      <c r="G32" s="178">
        <f t="shared" si="5"/>
        <v>0</v>
      </c>
      <c r="H32" s="178">
        <f aca="true" t="shared" si="7" ref="H32:M32">H33</f>
        <v>83025</v>
      </c>
      <c r="I32" s="178">
        <f t="shared" si="7"/>
        <v>0</v>
      </c>
      <c r="J32" s="178">
        <f t="shared" si="7"/>
        <v>0</v>
      </c>
      <c r="K32" s="178">
        <f t="shared" si="7"/>
        <v>141159</v>
      </c>
      <c r="L32" s="178">
        <f t="shared" si="7"/>
        <v>0</v>
      </c>
      <c r="M32" s="178">
        <f t="shared" si="7"/>
        <v>0</v>
      </c>
      <c r="N32" s="178">
        <f t="shared" si="3"/>
        <v>141159</v>
      </c>
      <c r="O32" s="178">
        <f>O33</f>
        <v>0</v>
      </c>
      <c r="P32" s="179">
        <f>P33</f>
        <v>141159</v>
      </c>
      <c r="Q32" s="179">
        <f>Q33</f>
        <v>0</v>
      </c>
    </row>
    <row r="33" spans="1:17" s="112" customFormat="1" ht="16.5" customHeight="1">
      <c r="A33" s="184"/>
      <c r="B33" s="36" t="s">
        <v>219</v>
      </c>
      <c r="C33" s="185" t="s">
        <v>251</v>
      </c>
      <c r="D33" s="37">
        <v>29992</v>
      </c>
      <c r="E33" s="37">
        <v>21000</v>
      </c>
      <c r="F33" s="37">
        <v>0</v>
      </c>
      <c r="G33" s="37">
        <v>0</v>
      </c>
      <c r="H33" s="37">
        <v>83025</v>
      </c>
      <c r="I33" s="37">
        <v>0</v>
      </c>
      <c r="J33" s="37">
        <v>0</v>
      </c>
      <c r="K33" s="37">
        <v>141159</v>
      </c>
      <c r="L33" s="37"/>
      <c r="M33" s="37"/>
      <c r="N33" s="37">
        <f t="shared" si="3"/>
        <v>141159</v>
      </c>
      <c r="O33" s="37">
        <v>0</v>
      </c>
      <c r="P33" s="172">
        <f>N33</f>
        <v>141159</v>
      </c>
      <c r="Q33" s="172">
        <v>0</v>
      </c>
    </row>
    <row r="34" spans="1:17" s="112" customFormat="1" ht="16.5" customHeight="1">
      <c r="A34" s="186" t="s">
        <v>252</v>
      </c>
      <c r="B34" s="187"/>
      <c r="C34" s="178" t="s">
        <v>253</v>
      </c>
      <c r="D34" s="188"/>
      <c r="E34" s="188"/>
      <c r="F34" s="188"/>
      <c r="G34" s="188"/>
      <c r="H34" s="178">
        <f aca="true" t="shared" si="8" ref="H34:M34">H36+H35</f>
        <v>11000</v>
      </c>
      <c r="I34" s="178">
        <f t="shared" si="8"/>
        <v>0</v>
      </c>
      <c r="J34" s="178">
        <f t="shared" si="8"/>
        <v>0</v>
      </c>
      <c r="K34" s="178">
        <f t="shared" si="8"/>
        <v>12750</v>
      </c>
      <c r="L34" s="178">
        <f t="shared" si="8"/>
        <v>0</v>
      </c>
      <c r="M34" s="178">
        <f t="shared" si="8"/>
        <v>0</v>
      </c>
      <c r="N34" s="178">
        <f t="shared" si="3"/>
        <v>12750</v>
      </c>
      <c r="O34" s="178">
        <f>O36+O35</f>
        <v>0</v>
      </c>
      <c r="P34" s="178">
        <f>P36+P35</f>
        <v>12750</v>
      </c>
      <c r="Q34" s="178">
        <f>Q36+Q35</f>
        <v>0</v>
      </c>
    </row>
    <row r="35" spans="1:17" s="112" customFormat="1" ht="16.5" customHeight="1">
      <c r="A35" s="168"/>
      <c r="B35" s="36" t="s">
        <v>231</v>
      </c>
      <c r="C35" s="185" t="s">
        <v>232</v>
      </c>
      <c r="D35" s="49"/>
      <c r="E35" s="49"/>
      <c r="F35" s="49"/>
      <c r="G35" s="49"/>
      <c r="H35" s="49">
        <v>942</v>
      </c>
      <c r="I35" s="37">
        <v>0</v>
      </c>
      <c r="J35" s="37">
        <v>0</v>
      </c>
      <c r="K35" s="37">
        <v>0</v>
      </c>
      <c r="L35" s="37"/>
      <c r="M35" s="37"/>
      <c r="N35" s="37">
        <f t="shared" si="3"/>
        <v>0</v>
      </c>
      <c r="O35" s="49">
        <v>0</v>
      </c>
      <c r="P35" s="49">
        <f>K35</f>
        <v>0</v>
      </c>
      <c r="Q35" s="49">
        <v>0</v>
      </c>
    </row>
    <row r="36" spans="1:17" s="112" customFormat="1" ht="16.5" customHeight="1">
      <c r="A36" s="184"/>
      <c r="B36" s="36" t="s">
        <v>237</v>
      </c>
      <c r="C36" s="185" t="s">
        <v>238</v>
      </c>
      <c r="D36" s="37"/>
      <c r="E36" s="37"/>
      <c r="F36" s="37"/>
      <c r="G36" s="37"/>
      <c r="H36" s="37">
        <v>10058</v>
      </c>
      <c r="I36" s="37">
        <v>0</v>
      </c>
      <c r="J36" s="37">
        <v>0</v>
      </c>
      <c r="K36" s="37">
        <v>12750</v>
      </c>
      <c r="L36" s="37"/>
      <c r="M36" s="37"/>
      <c r="N36" s="37">
        <f t="shared" si="3"/>
        <v>12750</v>
      </c>
      <c r="O36" s="37">
        <v>0</v>
      </c>
      <c r="P36" s="172">
        <f>N36</f>
        <v>12750</v>
      </c>
      <c r="Q36" s="172">
        <v>0</v>
      </c>
    </row>
    <row r="37" spans="1:17" s="112" customFormat="1" ht="17.25" customHeight="1">
      <c r="A37" s="182" t="s">
        <v>43</v>
      </c>
      <c r="B37" s="189"/>
      <c r="C37" s="183" t="s">
        <v>254</v>
      </c>
      <c r="D37" s="183" t="e">
        <f aca="true" t="shared" si="9" ref="D37:M37">D38</f>
        <v>#REF!</v>
      </c>
      <c r="E37" s="183" t="e">
        <f t="shared" si="9"/>
        <v>#REF!</v>
      </c>
      <c r="F37" s="183" t="e">
        <f t="shared" si="9"/>
        <v>#REF!</v>
      </c>
      <c r="G37" s="183" t="e">
        <f t="shared" si="9"/>
        <v>#REF!</v>
      </c>
      <c r="H37" s="183" t="e">
        <f t="shared" si="9"/>
        <v>#REF!</v>
      </c>
      <c r="I37" s="183" t="e">
        <f t="shared" si="9"/>
        <v>#REF!</v>
      </c>
      <c r="J37" s="183" t="e">
        <f t="shared" si="9"/>
        <v>#REF!</v>
      </c>
      <c r="K37" s="183">
        <f t="shared" si="9"/>
        <v>4044080</v>
      </c>
      <c r="L37" s="183">
        <f t="shared" si="9"/>
        <v>50395</v>
      </c>
      <c r="M37" s="183">
        <f t="shared" si="9"/>
        <v>50395</v>
      </c>
      <c r="N37" s="183">
        <f t="shared" si="3"/>
        <v>4044080</v>
      </c>
      <c r="O37" s="183">
        <f>O38</f>
        <v>0</v>
      </c>
      <c r="P37" s="190">
        <f>P38</f>
        <v>4044080</v>
      </c>
      <c r="Q37" s="190">
        <f>Q38</f>
        <v>0</v>
      </c>
    </row>
    <row r="38" spans="1:17" s="112" customFormat="1" ht="14.25" customHeight="1">
      <c r="A38" s="186" t="s">
        <v>45</v>
      </c>
      <c r="B38" s="187"/>
      <c r="C38" s="178" t="s">
        <v>255</v>
      </c>
      <c r="D38" s="178" t="e">
        <f>D41+D42+D43+D40+#REF!+D56</f>
        <v>#REF!</v>
      </c>
      <c r="E38" s="178" t="e">
        <f>E41+E42+E43+E44+E40+#REF!+E46+E47+E48+E49+E51+E52+E53+E54+#REF!+E55+E56+#REF!</f>
        <v>#REF!</v>
      </c>
      <c r="F38" s="178" t="e">
        <f>F41+F42+F43+F44+F40+#REF!+F46+F47+F48+F49+F51+F52+F53+F54+F55+F56+#REF!+#REF!</f>
        <v>#REF!</v>
      </c>
      <c r="G38" s="178" t="e">
        <f>G41+G42+G43+G44+G40+#REF!+G46+G47+G48+G49+G51+G52+G53+G54+G55+G56+#REF!+#REF!</f>
        <v>#REF!</v>
      </c>
      <c r="H38" s="178" t="e">
        <f>H41+H42+H43+H44+H40+#REF!+H46+H47+H48+H49+H51+H52+H53+H54+H55+H56+#REF!+#REF!+#REF!+H39+#REF!</f>
        <v>#REF!</v>
      </c>
      <c r="I38" s="178" t="e">
        <f>I41+I42+I43+I44+I40+#REF!+I46+I47+I48+I49+I51+I52+I53+I54+I55+I56+#REF!+#REF!+#REF!+I39+#REF!</f>
        <v>#REF!</v>
      </c>
      <c r="J38" s="178" t="e">
        <f>J41+J42+J43+J44+J40+#REF!+J46+J47+J48+J49+J51+J52+J53+J54+J55+J56+#REF!+#REF!+#REF!+J39+#REF!</f>
        <v>#REF!</v>
      </c>
      <c r="K38" s="178">
        <f>SUM(K39:K58)</f>
        <v>4044080</v>
      </c>
      <c r="L38" s="178">
        <f>SUM(L39:L58)</f>
        <v>50395</v>
      </c>
      <c r="M38" s="178">
        <f>SUM(M39:M58)</f>
        <v>50395</v>
      </c>
      <c r="N38" s="178">
        <f t="shared" si="3"/>
        <v>4044080</v>
      </c>
      <c r="O38" s="178">
        <f>O41+O42+O43+O44+O45+O40+O46+O47+O48+O49+O50+O51+O52+O53+O54+O55+O57+O58+O39</f>
        <v>0</v>
      </c>
      <c r="P38" s="178">
        <f>P39+P40+P41+P42+P43+P44+P45+P46+P47+P48+P49+P50+P51+P52+P53+P54+P55+P56+P57+P58</f>
        <v>4044080</v>
      </c>
      <c r="Q38" s="178">
        <f>Q39+Q40+Q41+Q42+Q43+Q44+Q45+Q46+Q47+Q48+Q49+Q50+Q51+Q52+Q53+Q54+Q55+Q56+Q57+Q58</f>
        <v>0</v>
      </c>
    </row>
    <row r="39" spans="1:17" s="112" customFormat="1" ht="13.5" customHeight="1">
      <c r="A39" s="171"/>
      <c r="B39" s="36" t="s">
        <v>248</v>
      </c>
      <c r="C39" s="75" t="s">
        <v>256</v>
      </c>
      <c r="D39" s="37"/>
      <c r="E39" s="49"/>
      <c r="F39" s="49"/>
      <c r="G39" s="49"/>
      <c r="H39" s="49">
        <v>40000</v>
      </c>
      <c r="I39" s="37">
        <v>0</v>
      </c>
      <c r="J39" s="37">
        <v>0</v>
      </c>
      <c r="K39" s="37">
        <v>50000</v>
      </c>
      <c r="L39" s="37"/>
      <c r="M39" s="37">
        <v>50000</v>
      </c>
      <c r="N39" s="37">
        <f t="shared" si="3"/>
        <v>0</v>
      </c>
      <c r="O39" s="37">
        <v>0</v>
      </c>
      <c r="P39" s="170">
        <v>0</v>
      </c>
      <c r="Q39" s="172">
        <f>N39</f>
        <v>0</v>
      </c>
    </row>
    <row r="40" spans="1:17" s="193" customFormat="1" ht="14.25" customHeight="1">
      <c r="A40" s="171"/>
      <c r="B40" s="36" t="s">
        <v>217</v>
      </c>
      <c r="C40" s="191" t="s">
        <v>257</v>
      </c>
      <c r="D40" s="191">
        <v>1296250</v>
      </c>
      <c r="E40" s="192">
        <v>4000</v>
      </c>
      <c r="F40" s="192">
        <v>0</v>
      </c>
      <c r="G40" s="192">
        <v>0</v>
      </c>
      <c r="H40" s="192">
        <v>6000</v>
      </c>
      <c r="I40" s="191">
        <v>0</v>
      </c>
      <c r="J40" s="191">
        <v>0</v>
      </c>
      <c r="K40" s="191">
        <v>4000</v>
      </c>
      <c r="L40" s="191"/>
      <c r="M40" s="191"/>
      <c r="N40" s="37">
        <f t="shared" si="3"/>
        <v>4000</v>
      </c>
      <c r="O40" s="191">
        <v>0</v>
      </c>
      <c r="P40" s="172">
        <f aca="true" t="shared" si="10" ref="P40:P58">N40</f>
        <v>4000</v>
      </c>
      <c r="Q40" s="172">
        <v>0</v>
      </c>
    </row>
    <row r="41" spans="1:17" s="112" customFormat="1" ht="15" customHeight="1">
      <c r="A41" s="171"/>
      <c r="B41" s="36" t="s">
        <v>221</v>
      </c>
      <c r="C41" s="75" t="s">
        <v>258</v>
      </c>
      <c r="D41" s="37">
        <v>580000</v>
      </c>
      <c r="E41" s="37">
        <v>599500</v>
      </c>
      <c r="F41" s="37">
        <v>0</v>
      </c>
      <c r="G41" s="37">
        <v>0</v>
      </c>
      <c r="H41" s="37">
        <v>356415</v>
      </c>
      <c r="I41" s="37">
        <v>0</v>
      </c>
      <c r="J41" s="37">
        <v>0</v>
      </c>
      <c r="K41" s="37">
        <v>364907</v>
      </c>
      <c r="L41" s="37"/>
      <c r="M41" s="37"/>
      <c r="N41" s="37">
        <f t="shared" si="3"/>
        <v>364907</v>
      </c>
      <c r="O41" s="37">
        <v>0</v>
      </c>
      <c r="P41" s="172">
        <f t="shared" si="10"/>
        <v>364907</v>
      </c>
      <c r="Q41" s="172">
        <v>0</v>
      </c>
    </row>
    <row r="42" spans="1:17" s="112" customFormat="1" ht="15.75" customHeight="1">
      <c r="A42" s="171"/>
      <c r="B42" s="36" t="s">
        <v>225</v>
      </c>
      <c r="C42" s="75" t="s">
        <v>226</v>
      </c>
      <c r="D42" s="37">
        <v>37980</v>
      </c>
      <c r="E42" s="37">
        <v>46300</v>
      </c>
      <c r="F42" s="37">
        <v>0</v>
      </c>
      <c r="G42" s="37">
        <v>41</v>
      </c>
      <c r="H42" s="37">
        <v>33240</v>
      </c>
      <c r="I42" s="37">
        <v>0</v>
      </c>
      <c r="J42" s="37">
        <v>0</v>
      </c>
      <c r="K42" s="37">
        <v>27054</v>
      </c>
      <c r="L42" s="37"/>
      <c r="M42" s="37">
        <v>186</v>
      </c>
      <c r="N42" s="37">
        <f t="shared" si="3"/>
        <v>26868</v>
      </c>
      <c r="O42" s="37">
        <v>0</v>
      </c>
      <c r="P42" s="172">
        <f t="shared" si="10"/>
        <v>26868</v>
      </c>
      <c r="Q42" s="172">
        <v>0</v>
      </c>
    </row>
    <row r="43" spans="1:17" s="112" customFormat="1" ht="15" customHeight="1">
      <c r="A43" s="171"/>
      <c r="B43" s="173" t="s">
        <v>259</v>
      </c>
      <c r="C43" s="75" t="s">
        <v>260</v>
      </c>
      <c r="D43" s="37">
        <v>121770</v>
      </c>
      <c r="E43" s="37">
        <v>110000</v>
      </c>
      <c r="F43" s="37">
        <v>0</v>
      </c>
      <c r="G43" s="37">
        <v>1150</v>
      </c>
      <c r="H43" s="37">
        <v>73348</v>
      </c>
      <c r="I43" s="37">
        <v>0</v>
      </c>
      <c r="J43" s="37">
        <v>0</v>
      </c>
      <c r="K43" s="37">
        <v>67912</v>
      </c>
      <c r="L43" s="37"/>
      <c r="M43" s="37"/>
      <c r="N43" s="37">
        <f t="shared" si="3"/>
        <v>67912</v>
      </c>
      <c r="O43" s="37">
        <v>0</v>
      </c>
      <c r="P43" s="172">
        <f t="shared" si="10"/>
        <v>67912</v>
      </c>
      <c r="Q43" s="172">
        <v>0</v>
      </c>
    </row>
    <row r="44" spans="1:17" s="112" customFormat="1" ht="14.25" customHeight="1">
      <c r="A44" s="171"/>
      <c r="B44" s="173" t="s">
        <v>229</v>
      </c>
      <c r="C44" s="75" t="s">
        <v>230</v>
      </c>
      <c r="D44" s="37"/>
      <c r="E44" s="37">
        <v>12400</v>
      </c>
      <c r="F44" s="37">
        <v>2500</v>
      </c>
      <c r="G44" s="37">
        <v>0</v>
      </c>
      <c r="H44" s="37">
        <v>10132</v>
      </c>
      <c r="I44" s="37">
        <v>0</v>
      </c>
      <c r="J44" s="37">
        <v>0</v>
      </c>
      <c r="K44" s="37">
        <v>9385</v>
      </c>
      <c r="L44" s="37"/>
      <c r="M44" s="37"/>
      <c r="N44" s="37">
        <f t="shared" si="3"/>
        <v>9385</v>
      </c>
      <c r="O44" s="37">
        <v>0</v>
      </c>
      <c r="P44" s="172">
        <f t="shared" si="10"/>
        <v>9385</v>
      </c>
      <c r="Q44" s="172">
        <v>0</v>
      </c>
    </row>
    <row r="45" spans="1:17" s="112" customFormat="1" ht="12.75" customHeight="1">
      <c r="A45" s="171"/>
      <c r="B45" s="173" t="s">
        <v>261</v>
      </c>
      <c r="C45" s="75" t="s">
        <v>262</v>
      </c>
      <c r="D45" s="37"/>
      <c r="E45" s="37"/>
      <c r="F45" s="37"/>
      <c r="G45" s="37"/>
      <c r="H45" s="37"/>
      <c r="I45" s="37"/>
      <c r="J45" s="37"/>
      <c r="K45" s="37">
        <v>25000</v>
      </c>
      <c r="L45" s="37"/>
      <c r="M45" s="37"/>
      <c r="N45" s="37">
        <f t="shared" si="3"/>
        <v>25000</v>
      </c>
      <c r="O45" s="37">
        <v>0</v>
      </c>
      <c r="P45" s="172">
        <f t="shared" si="10"/>
        <v>25000</v>
      </c>
      <c r="Q45" s="172">
        <v>0</v>
      </c>
    </row>
    <row r="46" spans="1:17" s="112" customFormat="1" ht="12.75" customHeight="1">
      <c r="A46" s="171"/>
      <c r="B46" s="36" t="s">
        <v>231</v>
      </c>
      <c r="C46" s="42" t="s">
        <v>263</v>
      </c>
      <c r="D46" s="37"/>
      <c r="E46" s="49">
        <v>130378</v>
      </c>
      <c r="F46" s="49">
        <v>40000</v>
      </c>
      <c r="G46" s="49">
        <v>0</v>
      </c>
      <c r="H46" s="49">
        <v>140000</v>
      </c>
      <c r="I46" s="37">
        <v>0</v>
      </c>
      <c r="J46" s="37">
        <v>0</v>
      </c>
      <c r="K46" s="37">
        <v>200260</v>
      </c>
      <c r="L46" s="37">
        <v>395</v>
      </c>
      <c r="M46" s="37"/>
      <c r="N46" s="37">
        <f t="shared" si="3"/>
        <v>200655</v>
      </c>
      <c r="O46" s="37">
        <v>0</v>
      </c>
      <c r="P46" s="172">
        <f t="shared" si="10"/>
        <v>200655</v>
      </c>
      <c r="Q46" s="172">
        <v>0</v>
      </c>
    </row>
    <row r="47" spans="1:17" s="112" customFormat="1" ht="13.5" customHeight="1">
      <c r="A47" s="171"/>
      <c r="B47" s="36" t="s">
        <v>233</v>
      </c>
      <c r="C47" s="42" t="s">
        <v>234</v>
      </c>
      <c r="D47" s="37"/>
      <c r="E47" s="49">
        <v>33000</v>
      </c>
      <c r="F47" s="49">
        <v>5000</v>
      </c>
      <c r="G47" s="49">
        <v>0</v>
      </c>
      <c r="H47" s="49">
        <v>30000</v>
      </c>
      <c r="I47" s="37">
        <v>0</v>
      </c>
      <c r="J47" s="37">
        <v>0</v>
      </c>
      <c r="K47" s="37">
        <v>31100</v>
      </c>
      <c r="L47" s="37"/>
      <c r="M47" s="37"/>
      <c r="N47" s="37">
        <f t="shared" si="3"/>
        <v>31100</v>
      </c>
      <c r="O47" s="37">
        <v>0</v>
      </c>
      <c r="P47" s="172">
        <f t="shared" si="10"/>
        <v>31100</v>
      </c>
      <c r="Q47" s="172">
        <v>0</v>
      </c>
    </row>
    <row r="48" spans="1:17" s="112" customFormat="1" ht="13.5" customHeight="1">
      <c r="A48" s="171"/>
      <c r="B48" s="36" t="s">
        <v>235</v>
      </c>
      <c r="C48" s="42" t="s">
        <v>236</v>
      </c>
      <c r="D48" s="37"/>
      <c r="E48" s="49">
        <v>613990</v>
      </c>
      <c r="F48" s="49">
        <v>0</v>
      </c>
      <c r="G48" s="49">
        <v>500000</v>
      </c>
      <c r="H48" s="49">
        <v>7000</v>
      </c>
      <c r="I48" s="37">
        <v>0</v>
      </c>
      <c r="J48" s="37">
        <v>0</v>
      </c>
      <c r="K48" s="37">
        <v>67000</v>
      </c>
      <c r="L48" s="37"/>
      <c r="M48" s="37"/>
      <c r="N48" s="37">
        <f t="shared" si="3"/>
        <v>67000</v>
      </c>
      <c r="O48" s="37">
        <v>0</v>
      </c>
      <c r="P48" s="172">
        <f t="shared" si="10"/>
        <v>67000</v>
      </c>
      <c r="Q48" s="172">
        <v>0</v>
      </c>
    </row>
    <row r="49" spans="1:17" s="112" customFormat="1" ht="14.25" customHeight="1">
      <c r="A49" s="171"/>
      <c r="B49" s="36" t="s">
        <v>237</v>
      </c>
      <c r="C49" s="42" t="s">
        <v>238</v>
      </c>
      <c r="D49" s="37"/>
      <c r="E49" s="49">
        <v>828700</v>
      </c>
      <c r="F49" s="49">
        <v>0</v>
      </c>
      <c r="G49" s="49">
        <v>142451</v>
      </c>
      <c r="H49" s="49">
        <v>412661</v>
      </c>
      <c r="I49" s="37">
        <v>0</v>
      </c>
      <c r="J49" s="37">
        <v>0</v>
      </c>
      <c r="K49" s="37">
        <v>326244</v>
      </c>
      <c r="L49" s="37">
        <v>50000</v>
      </c>
      <c r="M49" s="37"/>
      <c r="N49" s="37">
        <f t="shared" si="3"/>
        <v>376244</v>
      </c>
      <c r="O49" s="37">
        <v>0</v>
      </c>
      <c r="P49" s="172">
        <f t="shared" si="10"/>
        <v>376244</v>
      </c>
      <c r="Q49" s="172">
        <v>0</v>
      </c>
    </row>
    <row r="50" spans="1:17" s="112" customFormat="1" ht="14.25" customHeight="1">
      <c r="A50" s="171"/>
      <c r="B50" s="36" t="s">
        <v>264</v>
      </c>
      <c r="C50" s="42" t="s">
        <v>265</v>
      </c>
      <c r="D50" s="37"/>
      <c r="E50" s="49"/>
      <c r="F50" s="49"/>
      <c r="G50" s="49"/>
      <c r="H50" s="49"/>
      <c r="I50" s="37"/>
      <c r="J50" s="37"/>
      <c r="K50" s="37">
        <v>3700</v>
      </c>
      <c r="L50" s="37"/>
      <c r="M50" s="37"/>
      <c r="N50" s="37">
        <f t="shared" si="3"/>
        <v>3700</v>
      </c>
      <c r="O50" s="37">
        <v>0</v>
      </c>
      <c r="P50" s="172">
        <f t="shared" si="10"/>
        <v>3700</v>
      </c>
      <c r="Q50" s="172">
        <v>0</v>
      </c>
    </row>
    <row r="51" spans="1:17" s="112" customFormat="1" ht="14.25" customHeight="1">
      <c r="A51" s="171"/>
      <c r="B51" s="36" t="s">
        <v>239</v>
      </c>
      <c r="C51" s="42" t="s">
        <v>240</v>
      </c>
      <c r="D51" s="37"/>
      <c r="E51" s="49">
        <v>660</v>
      </c>
      <c r="F51" s="49">
        <v>0</v>
      </c>
      <c r="G51" s="49">
        <v>300</v>
      </c>
      <c r="H51" s="49">
        <v>500</v>
      </c>
      <c r="I51" s="37">
        <v>0</v>
      </c>
      <c r="J51" s="37">
        <v>0</v>
      </c>
      <c r="K51" s="37">
        <v>1500</v>
      </c>
      <c r="L51" s="37"/>
      <c r="M51" s="37"/>
      <c r="N51" s="37">
        <f t="shared" si="3"/>
        <v>1500</v>
      </c>
      <c r="O51" s="37">
        <v>0</v>
      </c>
      <c r="P51" s="172">
        <f t="shared" si="10"/>
        <v>1500</v>
      </c>
      <c r="Q51" s="172">
        <v>0</v>
      </c>
    </row>
    <row r="52" spans="1:17" s="112" customFormat="1" ht="15.75" customHeight="1">
      <c r="A52" s="171"/>
      <c r="B52" s="36" t="s">
        <v>241</v>
      </c>
      <c r="C52" s="42" t="s">
        <v>242</v>
      </c>
      <c r="D52" s="37"/>
      <c r="E52" s="49">
        <v>23000</v>
      </c>
      <c r="F52" s="49">
        <v>500</v>
      </c>
      <c r="G52" s="49">
        <v>0</v>
      </c>
      <c r="H52" s="49">
        <v>15412</v>
      </c>
      <c r="I52" s="37">
        <v>0</v>
      </c>
      <c r="J52" s="37">
        <v>0</v>
      </c>
      <c r="K52" s="37">
        <v>2000</v>
      </c>
      <c r="L52" s="37"/>
      <c r="M52" s="37"/>
      <c r="N52" s="37">
        <f t="shared" si="3"/>
        <v>2000</v>
      </c>
      <c r="O52" s="37">
        <v>0</v>
      </c>
      <c r="P52" s="172">
        <f t="shared" si="10"/>
        <v>2000</v>
      </c>
      <c r="Q52" s="172">
        <v>0</v>
      </c>
    </row>
    <row r="53" spans="1:17" s="112" customFormat="1" ht="13.5" customHeight="1">
      <c r="A53" s="171"/>
      <c r="B53" s="36" t="s">
        <v>243</v>
      </c>
      <c r="C53" s="42" t="s">
        <v>244</v>
      </c>
      <c r="D53" s="37"/>
      <c r="E53" s="49">
        <v>14893</v>
      </c>
      <c r="F53" s="49">
        <v>0</v>
      </c>
      <c r="G53" s="49">
        <v>0</v>
      </c>
      <c r="H53" s="49">
        <v>13388</v>
      </c>
      <c r="I53" s="37">
        <v>0</v>
      </c>
      <c r="J53" s="37">
        <v>0</v>
      </c>
      <c r="K53" s="37">
        <v>10913</v>
      </c>
      <c r="L53" s="37"/>
      <c r="M53" s="37"/>
      <c r="N53" s="37">
        <f t="shared" si="3"/>
        <v>10913</v>
      </c>
      <c r="O53" s="37">
        <v>0</v>
      </c>
      <c r="P53" s="172">
        <f t="shared" si="10"/>
        <v>10913</v>
      </c>
      <c r="Q53" s="172">
        <v>0</v>
      </c>
    </row>
    <row r="54" spans="1:17" s="112" customFormat="1" ht="13.5" customHeight="1">
      <c r="A54" s="171"/>
      <c r="B54" s="36" t="s">
        <v>266</v>
      </c>
      <c r="C54" s="42" t="s">
        <v>267</v>
      </c>
      <c r="D54" s="37"/>
      <c r="E54" s="49">
        <v>8147</v>
      </c>
      <c r="F54" s="49">
        <v>0</v>
      </c>
      <c r="G54" s="49">
        <v>0</v>
      </c>
      <c r="H54" s="49">
        <v>7500</v>
      </c>
      <c r="I54" s="37">
        <v>0</v>
      </c>
      <c r="J54" s="37">
        <v>0</v>
      </c>
      <c r="K54" s="37">
        <v>9431</v>
      </c>
      <c r="L54" s="37"/>
      <c r="M54" s="37">
        <v>209</v>
      </c>
      <c r="N54" s="37">
        <f t="shared" si="3"/>
        <v>9222</v>
      </c>
      <c r="O54" s="37">
        <v>0</v>
      </c>
      <c r="P54" s="172">
        <f t="shared" si="10"/>
        <v>9222</v>
      </c>
      <c r="Q54" s="172">
        <v>0</v>
      </c>
    </row>
    <row r="55" spans="1:17" s="112" customFormat="1" ht="12.75" customHeight="1">
      <c r="A55" s="171"/>
      <c r="B55" s="36" t="s">
        <v>268</v>
      </c>
      <c r="C55" s="75" t="s">
        <v>269</v>
      </c>
      <c r="D55" s="37"/>
      <c r="E55" s="49">
        <v>132020</v>
      </c>
      <c r="F55" s="49">
        <v>700000</v>
      </c>
      <c r="G55" s="49">
        <v>0</v>
      </c>
      <c r="H55" s="49">
        <v>2525825</v>
      </c>
      <c r="I55" s="37">
        <v>0</v>
      </c>
      <c r="J55" s="37">
        <v>0</v>
      </c>
      <c r="K55" s="37">
        <v>143000</v>
      </c>
      <c r="L55" s="37"/>
      <c r="M55" s="37"/>
      <c r="N55" s="37">
        <f t="shared" si="3"/>
        <v>143000</v>
      </c>
      <c r="O55" s="37">
        <v>0</v>
      </c>
      <c r="P55" s="172">
        <f t="shared" si="10"/>
        <v>143000</v>
      </c>
      <c r="Q55" s="172">
        <v>0</v>
      </c>
    </row>
    <row r="56" spans="1:17" s="112" customFormat="1" ht="14.25" customHeight="1">
      <c r="A56" s="171"/>
      <c r="B56" s="36" t="s">
        <v>270</v>
      </c>
      <c r="C56" s="75" t="s">
        <v>271</v>
      </c>
      <c r="D56" s="37">
        <v>0</v>
      </c>
      <c r="E56" s="49">
        <v>60000</v>
      </c>
      <c r="F56" s="49">
        <v>0</v>
      </c>
      <c r="G56" s="49">
        <v>3758</v>
      </c>
      <c r="H56" s="49"/>
      <c r="I56" s="37">
        <v>0</v>
      </c>
      <c r="J56" s="37">
        <v>0</v>
      </c>
      <c r="K56" s="37">
        <v>10000</v>
      </c>
      <c r="L56" s="37"/>
      <c r="M56" s="37"/>
      <c r="N56" s="37">
        <f t="shared" si="3"/>
        <v>10000</v>
      </c>
      <c r="O56" s="37">
        <v>0</v>
      </c>
      <c r="P56" s="172">
        <f t="shared" si="10"/>
        <v>10000</v>
      </c>
      <c r="Q56" s="172">
        <v>0</v>
      </c>
    </row>
    <row r="57" spans="1:17" s="112" customFormat="1" ht="15" customHeight="1">
      <c r="A57" s="171"/>
      <c r="B57" s="36" t="s">
        <v>272</v>
      </c>
      <c r="C57" s="75" t="s">
        <v>273</v>
      </c>
      <c r="D57" s="37"/>
      <c r="E57" s="49"/>
      <c r="F57" s="49"/>
      <c r="G57" s="49"/>
      <c r="H57" s="49"/>
      <c r="I57" s="37"/>
      <c r="J57" s="37"/>
      <c r="K57" s="37">
        <v>1988005</v>
      </c>
      <c r="L57" s="37"/>
      <c r="M57" s="37"/>
      <c r="N57" s="37">
        <f t="shared" si="3"/>
        <v>1988005</v>
      </c>
      <c r="O57" s="37">
        <v>0</v>
      </c>
      <c r="P57" s="172">
        <f t="shared" si="10"/>
        <v>1988005</v>
      </c>
      <c r="Q57" s="172">
        <v>0</v>
      </c>
    </row>
    <row r="58" spans="1:17" s="112" customFormat="1" ht="18" customHeight="1">
      <c r="A58" s="171"/>
      <c r="B58" s="36" t="s">
        <v>274</v>
      </c>
      <c r="C58" s="75" t="s">
        <v>273</v>
      </c>
      <c r="D58" s="37"/>
      <c r="E58" s="49"/>
      <c r="F58" s="49"/>
      <c r="G58" s="49"/>
      <c r="H58" s="49"/>
      <c r="I58" s="37"/>
      <c r="J58" s="37"/>
      <c r="K58" s="37">
        <v>702669</v>
      </c>
      <c r="L58" s="37"/>
      <c r="M58" s="37"/>
      <c r="N58" s="37">
        <f t="shared" si="3"/>
        <v>702669</v>
      </c>
      <c r="O58" s="37">
        <v>0</v>
      </c>
      <c r="P58" s="172">
        <f t="shared" si="10"/>
        <v>702669</v>
      </c>
      <c r="Q58" s="172">
        <v>0</v>
      </c>
    </row>
    <row r="59" spans="1:17" s="112" customFormat="1" ht="21.75" customHeight="1">
      <c r="A59" s="182" t="s">
        <v>65</v>
      </c>
      <c r="B59" s="194"/>
      <c r="C59" s="195" t="s">
        <v>275</v>
      </c>
      <c r="D59" s="183">
        <f aca="true" t="shared" si="11" ref="D59:M59">D60</f>
        <v>15000</v>
      </c>
      <c r="E59" s="183">
        <f t="shared" si="11"/>
        <v>37000</v>
      </c>
      <c r="F59" s="183">
        <f t="shared" si="11"/>
        <v>3693</v>
      </c>
      <c r="G59" s="183">
        <f t="shared" si="11"/>
        <v>3693</v>
      </c>
      <c r="H59" s="183">
        <f t="shared" si="11"/>
        <v>87539</v>
      </c>
      <c r="I59" s="183">
        <f t="shared" si="11"/>
        <v>0</v>
      </c>
      <c r="J59" s="183">
        <f t="shared" si="11"/>
        <v>0</v>
      </c>
      <c r="K59" s="183">
        <f t="shared" si="11"/>
        <v>179676</v>
      </c>
      <c r="L59" s="183">
        <f t="shared" si="11"/>
        <v>39531</v>
      </c>
      <c r="M59" s="183">
        <f t="shared" si="11"/>
        <v>1742</v>
      </c>
      <c r="N59" s="183">
        <f t="shared" si="3"/>
        <v>217465</v>
      </c>
      <c r="O59" s="183">
        <f>O60</f>
        <v>62000</v>
      </c>
      <c r="P59" s="183">
        <f>P60</f>
        <v>155465</v>
      </c>
      <c r="Q59" s="190">
        <f>Q60</f>
        <v>0</v>
      </c>
    </row>
    <row r="60" spans="1:17" s="112" customFormat="1" ht="24.75" customHeight="1">
      <c r="A60" s="186" t="s">
        <v>67</v>
      </c>
      <c r="B60" s="187"/>
      <c r="C60" s="181" t="s">
        <v>276</v>
      </c>
      <c r="D60" s="178">
        <f>D64</f>
        <v>15000</v>
      </c>
      <c r="E60" s="178">
        <f>E64+E62</f>
        <v>37000</v>
      </c>
      <c r="F60" s="178">
        <f>F64+F62</f>
        <v>3693</v>
      </c>
      <c r="G60" s="178">
        <f>G64+G62</f>
        <v>3693</v>
      </c>
      <c r="H60" s="178">
        <f>H62+H64+H65+H67+H68+H61+H66</f>
        <v>87539</v>
      </c>
      <c r="I60" s="178">
        <f>I62+I64+I65+I67+I68+I61+I66</f>
        <v>0</v>
      </c>
      <c r="J60" s="178">
        <f>J62+J64+J65+J67+J68+J61+J66</f>
        <v>0</v>
      </c>
      <c r="K60" s="178">
        <f>SUM(K61:K68)</f>
        <v>179676</v>
      </c>
      <c r="L60" s="178">
        <f>SUM(L61:L68)</f>
        <v>39531</v>
      </c>
      <c r="M60" s="178">
        <f>SUM(M61:M68)</f>
        <v>1742</v>
      </c>
      <c r="N60" s="178">
        <f t="shared" si="3"/>
        <v>217465</v>
      </c>
      <c r="O60" s="178">
        <f>O61+O62+O64+O65+O67+O68+O66</f>
        <v>62000</v>
      </c>
      <c r="P60" s="178">
        <f>P61+P62+P63+P64+P65+P66+P67+P68</f>
        <v>155465</v>
      </c>
      <c r="Q60" s="178">
        <f>Q62+Q64+Q65+Q67+Q68+Q66</f>
        <v>0</v>
      </c>
    </row>
    <row r="61" spans="1:17" s="112" customFormat="1" ht="13.5" customHeight="1">
      <c r="A61" s="168"/>
      <c r="B61" s="36" t="s">
        <v>261</v>
      </c>
      <c r="C61" s="42" t="s">
        <v>277</v>
      </c>
      <c r="D61" s="49"/>
      <c r="E61" s="49"/>
      <c r="F61" s="49"/>
      <c r="G61" s="49"/>
      <c r="H61" s="49">
        <v>3005</v>
      </c>
      <c r="I61" s="49">
        <v>0</v>
      </c>
      <c r="J61" s="49">
        <v>0</v>
      </c>
      <c r="K61" s="49">
        <v>800</v>
      </c>
      <c r="L61" s="49"/>
      <c r="M61" s="49"/>
      <c r="N61" s="37">
        <f t="shared" si="3"/>
        <v>800</v>
      </c>
      <c r="O61" s="49">
        <v>800</v>
      </c>
      <c r="P61" s="49">
        <f>K61-O61</f>
        <v>0</v>
      </c>
      <c r="Q61" s="81">
        <v>0</v>
      </c>
    </row>
    <row r="62" spans="1:17" s="112" customFormat="1" ht="14.25" customHeight="1">
      <c r="A62" s="168"/>
      <c r="B62" s="36" t="s">
        <v>233</v>
      </c>
      <c r="C62" s="42" t="s">
        <v>234</v>
      </c>
      <c r="D62" s="49"/>
      <c r="E62" s="49">
        <v>20000</v>
      </c>
      <c r="F62" s="49">
        <v>3693</v>
      </c>
      <c r="G62" s="49">
        <v>0</v>
      </c>
      <c r="H62" s="49">
        <v>10601</v>
      </c>
      <c r="I62" s="49">
        <v>0</v>
      </c>
      <c r="J62" s="49">
        <v>0</v>
      </c>
      <c r="K62" s="37">
        <v>3930</v>
      </c>
      <c r="L62" s="37"/>
      <c r="M62" s="49"/>
      <c r="N62" s="37">
        <f t="shared" si="3"/>
        <v>3930</v>
      </c>
      <c r="O62" s="49">
        <v>3930</v>
      </c>
      <c r="P62" s="49">
        <f aca="true" t="shared" si="12" ref="P62:P68">N62-O62</f>
        <v>0</v>
      </c>
      <c r="Q62" s="170">
        <v>0</v>
      </c>
    </row>
    <row r="63" spans="1:17" s="112" customFormat="1" ht="13.5" customHeight="1">
      <c r="A63" s="168"/>
      <c r="B63" s="36" t="s">
        <v>235</v>
      </c>
      <c r="C63" s="42" t="s">
        <v>278</v>
      </c>
      <c r="D63" s="49"/>
      <c r="E63" s="49"/>
      <c r="F63" s="49"/>
      <c r="G63" s="49"/>
      <c r="H63" s="49"/>
      <c r="I63" s="49"/>
      <c r="J63" s="49"/>
      <c r="K63" s="37">
        <v>46376</v>
      </c>
      <c r="L63" s="37">
        <v>22534</v>
      </c>
      <c r="M63" s="49"/>
      <c r="N63" s="37">
        <f t="shared" si="3"/>
        <v>68910</v>
      </c>
      <c r="O63" s="49">
        <v>0</v>
      </c>
      <c r="P63" s="49">
        <f t="shared" si="12"/>
        <v>68910</v>
      </c>
      <c r="Q63" s="170"/>
    </row>
    <row r="64" spans="1:17" s="112" customFormat="1" ht="13.5" customHeight="1">
      <c r="A64" s="184"/>
      <c r="B64" s="36" t="s">
        <v>237</v>
      </c>
      <c r="C64" s="42" t="s">
        <v>238</v>
      </c>
      <c r="D64" s="37">
        <v>15000</v>
      </c>
      <c r="E64" s="49">
        <v>17000</v>
      </c>
      <c r="F64" s="49">
        <v>0</v>
      </c>
      <c r="G64" s="49">
        <v>3693</v>
      </c>
      <c r="H64" s="49">
        <v>65521</v>
      </c>
      <c r="I64" s="49">
        <v>0</v>
      </c>
      <c r="J64" s="49">
        <v>0</v>
      </c>
      <c r="K64" s="37">
        <v>51970</v>
      </c>
      <c r="L64" s="37"/>
      <c r="M64" s="49">
        <v>882</v>
      </c>
      <c r="N64" s="37">
        <f t="shared" si="3"/>
        <v>51088</v>
      </c>
      <c r="O64" s="49">
        <v>41402</v>
      </c>
      <c r="P64" s="49">
        <f t="shared" si="12"/>
        <v>9686</v>
      </c>
      <c r="Q64" s="172">
        <v>0</v>
      </c>
    </row>
    <row r="65" spans="1:17" s="112" customFormat="1" ht="14.25" customHeight="1">
      <c r="A65" s="184"/>
      <c r="B65" s="36" t="s">
        <v>241</v>
      </c>
      <c r="C65" s="42" t="s">
        <v>242</v>
      </c>
      <c r="D65" s="37"/>
      <c r="E65" s="49"/>
      <c r="F65" s="49"/>
      <c r="G65" s="49"/>
      <c r="H65" s="49">
        <v>1357</v>
      </c>
      <c r="I65" s="49">
        <v>0</v>
      </c>
      <c r="J65" s="49">
        <v>0</v>
      </c>
      <c r="K65" s="37">
        <v>60000</v>
      </c>
      <c r="L65" s="37"/>
      <c r="M65" s="49"/>
      <c r="N65" s="37">
        <f t="shared" si="3"/>
        <v>60000</v>
      </c>
      <c r="O65" s="49">
        <v>0</v>
      </c>
      <c r="P65" s="49">
        <f t="shared" si="12"/>
        <v>60000</v>
      </c>
      <c r="Q65" s="172">
        <v>0</v>
      </c>
    </row>
    <row r="66" spans="1:17" s="112" customFormat="1" ht="13.5" customHeight="1">
      <c r="A66" s="184"/>
      <c r="B66" s="36" t="s">
        <v>266</v>
      </c>
      <c r="C66" s="42" t="s">
        <v>267</v>
      </c>
      <c r="D66" s="37"/>
      <c r="E66" s="49"/>
      <c r="F66" s="49"/>
      <c r="G66" s="49"/>
      <c r="H66" s="49">
        <v>55</v>
      </c>
      <c r="I66" s="49">
        <v>0</v>
      </c>
      <c r="J66" s="49">
        <v>0</v>
      </c>
      <c r="K66" s="37">
        <v>10100</v>
      </c>
      <c r="L66" s="37">
        <v>1742</v>
      </c>
      <c r="M66" s="49"/>
      <c r="N66" s="37">
        <f t="shared" si="3"/>
        <v>11842</v>
      </c>
      <c r="O66" s="49">
        <v>11728</v>
      </c>
      <c r="P66" s="49">
        <f t="shared" si="12"/>
        <v>114</v>
      </c>
      <c r="Q66" s="172"/>
    </row>
    <row r="67" spans="1:17" s="112" customFormat="1" ht="12" customHeight="1">
      <c r="A67" s="184"/>
      <c r="B67" s="36" t="s">
        <v>279</v>
      </c>
      <c r="C67" s="42" t="s">
        <v>280</v>
      </c>
      <c r="D67" s="37"/>
      <c r="E67" s="49"/>
      <c r="F67" s="49"/>
      <c r="G67" s="49"/>
      <c r="H67" s="49">
        <v>213</v>
      </c>
      <c r="I67" s="49">
        <v>0</v>
      </c>
      <c r="J67" s="49">
        <v>0</v>
      </c>
      <c r="K67" s="37">
        <v>5000</v>
      </c>
      <c r="L67" s="37"/>
      <c r="M67" s="49">
        <v>860</v>
      </c>
      <c r="N67" s="37">
        <f t="shared" si="3"/>
        <v>4140</v>
      </c>
      <c r="O67" s="49">
        <v>4140</v>
      </c>
      <c r="P67" s="49">
        <f t="shared" si="12"/>
        <v>0</v>
      </c>
      <c r="Q67" s="172">
        <v>0</v>
      </c>
    </row>
    <row r="68" spans="1:17" s="112" customFormat="1" ht="14.25" customHeight="1">
      <c r="A68" s="184"/>
      <c r="B68" s="36" t="s">
        <v>281</v>
      </c>
      <c r="C68" s="42" t="s">
        <v>282</v>
      </c>
      <c r="D68" s="37"/>
      <c r="E68" s="49"/>
      <c r="F68" s="49"/>
      <c r="G68" s="49"/>
      <c r="H68" s="49">
        <v>6787</v>
      </c>
      <c r="I68" s="49">
        <v>0</v>
      </c>
      <c r="J68" s="49">
        <v>0</v>
      </c>
      <c r="K68" s="37">
        <v>1500</v>
      </c>
      <c r="L68" s="37">
        <v>15255</v>
      </c>
      <c r="M68" s="49"/>
      <c r="N68" s="37">
        <f t="shared" si="3"/>
        <v>16755</v>
      </c>
      <c r="O68" s="49">
        <v>0</v>
      </c>
      <c r="P68" s="49">
        <f t="shared" si="12"/>
        <v>16755</v>
      </c>
      <c r="Q68" s="172">
        <v>0</v>
      </c>
    </row>
    <row r="69" spans="1:17" s="112" customFormat="1" ht="15" customHeight="1">
      <c r="A69" s="182" t="s">
        <v>283</v>
      </c>
      <c r="B69" s="194"/>
      <c r="C69" s="196" t="s">
        <v>284</v>
      </c>
      <c r="D69" s="183" t="e">
        <f aca="true" t="shared" si="13" ref="D69:M69">D70+D72+D74</f>
        <v>#REF!</v>
      </c>
      <c r="E69" s="183" t="e">
        <f t="shared" si="13"/>
        <v>#REF!</v>
      </c>
      <c r="F69" s="183" t="e">
        <f t="shared" si="13"/>
        <v>#REF!</v>
      </c>
      <c r="G69" s="183" t="e">
        <f t="shared" si="13"/>
        <v>#REF!</v>
      </c>
      <c r="H69" s="183" t="e">
        <f t="shared" si="13"/>
        <v>#REF!</v>
      </c>
      <c r="I69" s="183" t="e">
        <f t="shared" si="13"/>
        <v>#REF!</v>
      </c>
      <c r="J69" s="183" t="e">
        <f t="shared" si="13"/>
        <v>#REF!</v>
      </c>
      <c r="K69" s="183">
        <f t="shared" si="13"/>
        <v>243547</v>
      </c>
      <c r="L69" s="183">
        <f t="shared" si="13"/>
        <v>3423</v>
      </c>
      <c r="M69" s="183">
        <f t="shared" si="13"/>
        <v>423</v>
      </c>
      <c r="N69" s="183">
        <f t="shared" si="3"/>
        <v>246547</v>
      </c>
      <c r="O69" s="183">
        <f>O70+O72+O74</f>
        <v>246547</v>
      </c>
      <c r="P69" s="190">
        <f>P70+P72+P74</f>
        <v>0</v>
      </c>
      <c r="Q69" s="190">
        <f>Q70+Q72+Q74</f>
        <v>0</v>
      </c>
    </row>
    <row r="70" spans="1:17" s="112" customFormat="1" ht="23.25" customHeight="1">
      <c r="A70" s="186" t="s">
        <v>285</v>
      </c>
      <c r="B70" s="176"/>
      <c r="C70" s="181" t="s">
        <v>72</v>
      </c>
      <c r="D70" s="178">
        <f aca="true" t="shared" si="14" ref="D70:M70">D71</f>
        <v>79900</v>
      </c>
      <c r="E70" s="178">
        <f t="shared" si="14"/>
        <v>52100</v>
      </c>
      <c r="F70" s="178">
        <f t="shared" si="14"/>
        <v>0</v>
      </c>
      <c r="G70" s="178">
        <f t="shared" si="14"/>
        <v>0</v>
      </c>
      <c r="H70" s="178">
        <f t="shared" si="14"/>
        <v>52000</v>
      </c>
      <c r="I70" s="178">
        <f t="shared" si="14"/>
        <v>0</v>
      </c>
      <c r="J70" s="178">
        <f t="shared" si="14"/>
        <v>0</v>
      </c>
      <c r="K70" s="178">
        <f t="shared" si="14"/>
        <v>40000</v>
      </c>
      <c r="L70" s="178">
        <f t="shared" si="14"/>
        <v>0</v>
      </c>
      <c r="M70" s="178">
        <f t="shared" si="14"/>
        <v>0</v>
      </c>
      <c r="N70" s="178">
        <f t="shared" si="3"/>
        <v>40000</v>
      </c>
      <c r="O70" s="178">
        <f>O71</f>
        <v>40000</v>
      </c>
      <c r="P70" s="179">
        <f>P71</f>
        <v>0</v>
      </c>
      <c r="Q70" s="179">
        <f>Q71</f>
        <v>0</v>
      </c>
    </row>
    <row r="71" spans="1:17" s="112" customFormat="1" ht="18" customHeight="1">
      <c r="A71" s="184"/>
      <c r="B71" s="36" t="s">
        <v>237</v>
      </c>
      <c r="C71" s="42" t="s">
        <v>238</v>
      </c>
      <c r="D71" s="37">
        <v>79900</v>
      </c>
      <c r="E71" s="49">
        <v>52100</v>
      </c>
      <c r="F71" s="49">
        <v>0</v>
      </c>
      <c r="G71" s="49">
        <v>0</v>
      </c>
      <c r="H71" s="49">
        <v>52000</v>
      </c>
      <c r="I71" s="49">
        <v>0</v>
      </c>
      <c r="J71" s="49">
        <v>0</v>
      </c>
      <c r="K71" s="37">
        <v>40000</v>
      </c>
      <c r="L71" s="37"/>
      <c r="M71" s="49"/>
      <c r="N71" s="37">
        <f t="shared" si="3"/>
        <v>40000</v>
      </c>
      <c r="O71" s="49">
        <f>N71</f>
        <v>40000</v>
      </c>
      <c r="P71" s="172">
        <v>0</v>
      </c>
      <c r="Q71" s="172">
        <v>0</v>
      </c>
    </row>
    <row r="72" spans="1:17" s="112" customFormat="1" ht="17.25" customHeight="1">
      <c r="A72" s="186" t="s">
        <v>286</v>
      </c>
      <c r="B72" s="176"/>
      <c r="C72" s="181" t="s">
        <v>287</v>
      </c>
      <c r="D72" s="178">
        <f aca="true" t="shared" si="15" ref="D72:M72">D73</f>
        <v>20000</v>
      </c>
      <c r="E72" s="178">
        <f t="shared" si="15"/>
        <v>8000</v>
      </c>
      <c r="F72" s="178">
        <f t="shared" si="15"/>
        <v>0</v>
      </c>
      <c r="G72" s="178">
        <f t="shared" si="15"/>
        <v>0</v>
      </c>
      <c r="H72" s="178">
        <f t="shared" si="15"/>
        <v>4000</v>
      </c>
      <c r="I72" s="178">
        <f t="shared" si="15"/>
        <v>0</v>
      </c>
      <c r="J72" s="178">
        <f t="shared" si="15"/>
        <v>0</v>
      </c>
      <c r="K72" s="178">
        <f t="shared" si="15"/>
        <v>22000</v>
      </c>
      <c r="L72" s="178">
        <f t="shared" si="15"/>
        <v>3000</v>
      </c>
      <c r="M72" s="178">
        <f t="shared" si="15"/>
        <v>0</v>
      </c>
      <c r="N72" s="178">
        <f t="shared" si="3"/>
        <v>25000</v>
      </c>
      <c r="O72" s="178">
        <f>O73</f>
        <v>25000</v>
      </c>
      <c r="P72" s="179">
        <f>P73</f>
        <v>0</v>
      </c>
      <c r="Q72" s="179">
        <f>Q73</f>
        <v>0</v>
      </c>
    </row>
    <row r="73" spans="1:17" s="112" customFormat="1" ht="21" customHeight="1">
      <c r="A73" s="184"/>
      <c r="B73" s="36" t="s">
        <v>237</v>
      </c>
      <c r="C73" s="42" t="s">
        <v>238</v>
      </c>
      <c r="D73" s="37">
        <v>20000</v>
      </c>
      <c r="E73" s="49">
        <v>8000</v>
      </c>
      <c r="F73" s="49">
        <v>0</v>
      </c>
      <c r="G73" s="49">
        <v>0</v>
      </c>
      <c r="H73" s="49">
        <v>4000</v>
      </c>
      <c r="I73" s="49">
        <v>0</v>
      </c>
      <c r="J73" s="49">
        <v>0</v>
      </c>
      <c r="K73" s="37">
        <v>22000</v>
      </c>
      <c r="L73" s="37">
        <v>3000</v>
      </c>
      <c r="M73" s="49"/>
      <c r="N73" s="37">
        <f t="shared" si="3"/>
        <v>25000</v>
      </c>
      <c r="O73" s="49">
        <f>N73</f>
        <v>25000</v>
      </c>
      <c r="P73" s="172">
        <v>0</v>
      </c>
      <c r="Q73" s="172">
        <v>0</v>
      </c>
    </row>
    <row r="74" spans="1:17" s="112" customFormat="1" ht="20.25" customHeight="1">
      <c r="A74" s="186" t="s">
        <v>288</v>
      </c>
      <c r="B74" s="176"/>
      <c r="C74" s="181" t="s">
        <v>75</v>
      </c>
      <c r="D74" s="178" t="e">
        <f>D75+D77+D78+#REF!</f>
        <v>#REF!</v>
      </c>
      <c r="E74" s="178" t="e">
        <f>E75+E77+E78+E79+#REF!+E80+E82+E83+E85</f>
        <v>#REF!</v>
      </c>
      <c r="F74" s="178" t="e">
        <f>F75+F77+F78+F79+#REF!+F80+F82+F83+F85</f>
        <v>#REF!</v>
      </c>
      <c r="G74" s="178" t="e">
        <f>G75+G77+G78+G79+#REF!+G80+G82+G83+G85</f>
        <v>#REF!</v>
      </c>
      <c r="H74" s="178" t="e">
        <f>H75+H77+H78+H79+#REF!+H80+H82+H83+H85+H76</f>
        <v>#REF!</v>
      </c>
      <c r="I74" s="178" t="e">
        <f>I75+I77+I78+I79+#REF!+I80+I82+I83+I85+I76</f>
        <v>#REF!</v>
      </c>
      <c r="J74" s="178" t="e">
        <f>J75+J77+J78+J79+#REF!+J80+J82+J83+J85+J76</f>
        <v>#REF!</v>
      </c>
      <c r="K74" s="178">
        <f>SUM(K75:K85)</f>
        <v>181547</v>
      </c>
      <c r="L74" s="178">
        <f>SUM(L75:L85)</f>
        <v>423</v>
      </c>
      <c r="M74" s="178">
        <f>SUM(M75:M85)</f>
        <v>423</v>
      </c>
      <c r="N74" s="178">
        <f t="shared" si="3"/>
        <v>181547</v>
      </c>
      <c r="O74" s="178">
        <f>SUM(O75:O85)</f>
        <v>181547</v>
      </c>
      <c r="P74" s="178">
        <f>SUM(P75:P85)</f>
        <v>0</v>
      </c>
      <c r="Q74" s="178">
        <f>SUM(Q75:Q85)</f>
        <v>0</v>
      </c>
    </row>
    <row r="75" spans="1:17" s="112" customFormat="1" ht="16.5" customHeight="1">
      <c r="A75" s="184"/>
      <c r="B75" s="36" t="s">
        <v>221</v>
      </c>
      <c r="C75" s="42" t="s">
        <v>222</v>
      </c>
      <c r="D75" s="37">
        <v>49324</v>
      </c>
      <c r="E75" s="49">
        <v>53163</v>
      </c>
      <c r="F75" s="49">
        <v>0</v>
      </c>
      <c r="G75" s="49">
        <v>0</v>
      </c>
      <c r="H75" s="49">
        <v>34560</v>
      </c>
      <c r="I75" s="49">
        <v>0</v>
      </c>
      <c r="J75" s="49">
        <v>0</v>
      </c>
      <c r="K75" s="37">
        <v>49200</v>
      </c>
      <c r="L75" s="37"/>
      <c r="M75" s="49"/>
      <c r="N75" s="37">
        <f t="shared" si="3"/>
        <v>49200</v>
      </c>
      <c r="O75" s="49">
        <f aca="true" t="shared" si="16" ref="O75:O85">N75</f>
        <v>49200</v>
      </c>
      <c r="P75" s="172">
        <v>0</v>
      </c>
      <c r="Q75" s="172">
        <v>0</v>
      </c>
    </row>
    <row r="76" spans="1:17" s="112" customFormat="1" ht="16.5" customHeight="1">
      <c r="A76" s="184"/>
      <c r="B76" s="36" t="s">
        <v>223</v>
      </c>
      <c r="C76" s="75" t="s">
        <v>289</v>
      </c>
      <c r="D76" s="37"/>
      <c r="E76" s="49"/>
      <c r="F76" s="49"/>
      <c r="G76" s="49"/>
      <c r="H76" s="49">
        <v>22800</v>
      </c>
      <c r="I76" s="49">
        <v>0</v>
      </c>
      <c r="J76" s="49">
        <v>0</v>
      </c>
      <c r="K76" s="37">
        <v>78200</v>
      </c>
      <c r="L76" s="37"/>
      <c r="M76" s="49"/>
      <c r="N76" s="37">
        <f t="shared" si="3"/>
        <v>78200</v>
      </c>
      <c r="O76" s="49">
        <f t="shared" si="16"/>
        <v>78200</v>
      </c>
      <c r="P76" s="172">
        <v>0</v>
      </c>
      <c r="Q76" s="172">
        <v>0</v>
      </c>
    </row>
    <row r="77" spans="1:17" s="112" customFormat="1" ht="16.5" customHeight="1">
      <c r="A77" s="184"/>
      <c r="B77" s="36" t="s">
        <v>225</v>
      </c>
      <c r="C77" s="42" t="s">
        <v>226</v>
      </c>
      <c r="D77" s="37">
        <v>2600</v>
      </c>
      <c r="E77" s="49">
        <v>4103</v>
      </c>
      <c r="F77" s="49">
        <v>0</v>
      </c>
      <c r="G77" s="49">
        <v>0</v>
      </c>
      <c r="H77" s="49">
        <v>4508</v>
      </c>
      <c r="I77" s="49">
        <v>0</v>
      </c>
      <c r="J77" s="49">
        <v>0</v>
      </c>
      <c r="K77" s="37">
        <v>8864</v>
      </c>
      <c r="L77" s="37"/>
      <c r="M77" s="49"/>
      <c r="N77" s="37">
        <f t="shared" si="3"/>
        <v>8864</v>
      </c>
      <c r="O77" s="49">
        <f t="shared" si="16"/>
        <v>8864</v>
      </c>
      <c r="P77" s="172">
        <v>0</v>
      </c>
      <c r="Q77" s="172">
        <v>0</v>
      </c>
    </row>
    <row r="78" spans="1:17" s="112" customFormat="1" ht="15" customHeight="1">
      <c r="A78" s="184"/>
      <c r="B78" s="173" t="s">
        <v>290</v>
      </c>
      <c r="C78" s="42" t="s">
        <v>260</v>
      </c>
      <c r="D78" s="37">
        <v>10556</v>
      </c>
      <c r="E78" s="49">
        <v>10240</v>
      </c>
      <c r="F78" s="49">
        <v>0</v>
      </c>
      <c r="G78" s="49">
        <v>0</v>
      </c>
      <c r="H78" s="49">
        <v>11254</v>
      </c>
      <c r="I78" s="49">
        <v>0</v>
      </c>
      <c r="J78" s="49">
        <v>0</v>
      </c>
      <c r="K78" s="37">
        <v>24786</v>
      </c>
      <c r="L78" s="37"/>
      <c r="M78" s="49"/>
      <c r="N78" s="37">
        <f t="shared" si="3"/>
        <v>24786</v>
      </c>
      <c r="O78" s="49">
        <f t="shared" si="16"/>
        <v>24786</v>
      </c>
      <c r="P78" s="172">
        <v>0</v>
      </c>
      <c r="Q78" s="172">
        <v>0</v>
      </c>
    </row>
    <row r="79" spans="1:17" s="112" customFormat="1" ht="14.25" customHeight="1">
      <c r="A79" s="184"/>
      <c r="B79" s="173" t="s">
        <v>229</v>
      </c>
      <c r="C79" s="42" t="s">
        <v>230</v>
      </c>
      <c r="D79" s="37"/>
      <c r="E79" s="49">
        <v>1403</v>
      </c>
      <c r="F79" s="49">
        <v>0</v>
      </c>
      <c r="G79" s="49">
        <v>0</v>
      </c>
      <c r="H79" s="49">
        <v>1516</v>
      </c>
      <c r="I79" s="49">
        <v>0</v>
      </c>
      <c r="J79" s="49">
        <v>0</v>
      </c>
      <c r="K79" s="37">
        <v>3338</v>
      </c>
      <c r="L79" s="37"/>
      <c r="M79" s="49"/>
      <c r="N79" s="37">
        <f t="shared" si="3"/>
        <v>3338</v>
      </c>
      <c r="O79" s="49">
        <f t="shared" si="16"/>
        <v>3338</v>
      </c>
      <c r="P79" s="172">
        <v>0</v>
      </c>
      <c r="Q79" s="172">
        <v>0</v>
      </c>
    </row>
    <row r="80" spans="1:17" s="112" customFormat="1" ht="15.75" customHeight="1">
      <c r="A80" s="184"/>
      <c r="B80" s="36" t="s">
        <v>231</v>
      </c>
      <c r="C80" s="42" t="s">
        <v>263</v>
      </c>
      <c r="D80" s="37"/>
      <c r="E80" s="49">
        <v>2270</v>
      </c>
      <c r="F80" s="49">
        <v>0</v>
      </c>
      <c r="G80" s="49">
        <v>0</v>
      </c>
      <c r="H80" s="49">
        <v>300</v>
      </c>
      <c r="I80" s="49">
        <v>0</v>
      </c>
      <c r="J80" s="49">
        <v>0</v>
      </c>
      <c r="K80" s="37">
        <v>3000</v>
      </c>
      <c r="L80" s="37"/>
      <c r="M80" s="49"/>
      <c r="N80" s="37">
        <f t="shared" si="3"/>
        <v>3000</v>
      </c>
      <c r="O80" s="49">
        <f t="shared" si="16"/>
        <v>3000</v>
      </c>
      <c r="P80" s="172">
        <v>0</v>
      </c>
      <c r="Q80" s="172">
        <v>0</v>
      </c>
    </row>
    <row r="81" spans="1:17" s="112" customFormat="1" ht="13.5" customHeight="1">
      <c r="A81" s="184"/>
      <c r="B81" s="36" t="s">
        <v>233</v>
      </c>
      <c r="C81" s="42" t="s">
        <v>291</v>
      </c>
      <c r="D81" s="37"/>
      <c r="E81" s="49"/>
      <c r="F81" s="49"/>
      <c r="G81" s="49"/>
      <c r="H81" s="49"/>
      <c r="I81" s="49"/>
      <c r="J81" s="49"/>
      <c r="K81" s="37">
        <v>4700</v>
      </c>
      <c r="L81" s="37"/>
      <c r="M81" s="49">
        <v>423</v>
      </c>
      <c r="N81" s="37">
        <f t="shared" si="3"/>
        <v>4277</v>
      </c>
      <c r="O81" s="49">
        <f t="shared" si="16"/>
        <v>4277</v>
      </c>
      <c r="P81" s="172"/>
      <c r="Q81" s="172"/>
    </row>
    <row r="82" spans="1:17" s="112" customFormat="1" ht="16.5" customHeight="1">
      <c r="A82" s="184"/>
      <c r="B82" s="36" t="s">
        <v>237</v>
      </c>
      <c r="C82" s="42" t="s">
        <v>238</v>
      </c>
      <c r="D82" s="37"/>
      <c r="E82" s="49">
        <v>4000</v>
      </c>
      <c r="F82" s="49">
        <v>0</v>
      </c>
      <c r="G82" s="49">
        <v>0</v>
      </c>
      <c r="H82" s="49">
        <v>3097</v>
      </c>
      <c r="I82" s="49">
        <v>0</v>
      </c>
      <c r="J82" s="49">
        <v>0</v>
      </c>
      <c r="K82" s="37">
        <v>4125</v>
      </c>
      <c r="L82" s="37"/>
      <c r="M82" s="49"/>
      <c r="N82" s="37">
        <f t="shared" si="3"/>
        <v>4125</v>
      </c>
      <c r="O82" s="49">
        <f t="shared" si="16"/>
        <v>4125</v>
      </c>
      <c r="P82" s="172">
        <v>0</v>
      </c>
      <c r="Q82" s="172">
        <v>0</v>
      </c>
    </row>
    <row r="83" spans="1:17" s="112" customFormat="1" ht="13.5" customHeight="1">
      <c r="A83" s="184"/>
      <c r="B83" s="36" t="s">
        <v>239</v>
      </c>
      <c r="C83" s="42" t="s">
        <v>240</v>
      </c>
      <c r="D83" s="37"/>
      <c r="E83" s="49">
        <v>2500</v>
      </c>
      <c r="F83" s="49">
        <v>0</v>
      </c>
      <c r="G83" s="49">
        <v>0</v>
      </c>
      <c r="H83" s="49">
        <v>2478</v>
      </c>
      <c r="I83" s="49">
        <v>0</v>
      </c>
      <c r="J83" s="49">
        <v>0</v>
      </c>
      <c r="K83" s="37">
        <v>500</v>
      </c>
      <c r="L83" s="37"/>
      <c r="M83" s="49"/>
      <c r="N83" s="37">
        <f t="shared" si="3"/>
        <v>500</v>
      </c>
      <c r="O83" s="49">
        <f t="shared" si="16"/>
        <v>500</v>
      </c>
      <c r="P83" s="172">
        <v>0</v>
      </c>
      <c r="Q83" s="172">
        <v>0</v>
      </c>
    </row>
    <row r="84" spans="1:17" s="112" customFormat="1" ht="13.5" customHeight="1">
      <c r="A84" s="184"/>
      <c r="B84" s="36" t="s">
        <v>241</v>
      </c>
      <c r="C84" s="42" t="s">
        <v>242</v>
      </c>
      <c r="D84" s="37"/>
      <c r="E84" s="49"/>
      <c r="F84" s="49"/>
      <c r="G84" s="49"/>
      <c r="H84" s="49"/>
      <c r="I84" s="49"/>
      <c r="J84" s="49"/>
      <c r="K84" s="37">
        <v>2200</v>
      </c>
      <c r="L84" s="37"/>
      <c r="M84" s="49"/>
      <c r="N84" s="37">
        <f t="shared" si="3"/>
        <v>2200</v>
      </c>
      <c r="O84" s="49">
        <f t="shared" si="16"/>
        <v>2200</v>
      </c>
      <c r="P84" s="172">
        <v>0</v>
      </c>
      <c r="Q84" s="172">
        <v>0</v>
      </c>
    </row>
    <row r="85" spans="1:17" s="112" customFormat="1" ht="15" customHeight="1">
      <c r="A85" s="184"/>
      <c r="B85" s="36" t="s">
        <v>243</v>
      </c>
      <c r="C85" s="42" t="s">
        <v>244</v>
      </c>
      <c r="D85" s="37"/>
      <c r="E85" s="49">
        <v>1241</v>
      </c>
      <c r="F85" s="49">
        <v>0</v>
      </c>
      <c r="G85" s="49">
        <v>0</v>
      </c>
      <c r="H85" s="49">
        <v>1353</v>
      </c>
      <c r="I85" s="49">
        <v>0</v>
      </c>
      <c r="J85" s="49">
        <v>0</v>
      </c>
      <c r="K85" s="37">
        <v>2634</v>
      </c>
      <c r="L85" s="37">
        <v>423</v>
      </c>
      <c r="M85" s="49"/>
      <c r="N85" s="37">
        <f t="shared" si="3"/>
        <v>3057</v>
      </c>
      <c r="O85" s="49">
        <f t="shared" si="16"/>
        <v>3057</v>
      </c>
      <c r="P85" s="172">
        <v>0</v>
      </c>
      <c r="Q85" s="172">
        <v>0</v>
      </c>
    </row>
    <row r="86" spans="1:17" s="112" customFormat="1" ht="18.75" customHeight="1">
      <c r="A86" s="182" t="s">
        <v>292</v>
      </c>
      <c r="B86" s="194"/>
      <c r="C86" s="196" t="s">
        <v>293</v>
      </c>
      <c r="D86" s="183" t="e">
        <f>D87+D99+D106+D127+D140</f>
        <v>#REF!</v>
      </c>
      <c r="E86" s="183" t="e">
        <f>E87+E99+E106+E127+E140</f>
        <v>#REF!</v>
      </c>
      <c r="F86" s="183" t="e">
        <f>F87+F99+F106+F127+F140</f>
        <v>#REF!</v>
      </c>
      <c r="G86" s="183" t="e">
        <f>G87+G99+G106+G127+G140</f>
        <v>#REF!</v>
      </c>
      <c r="H86" s="183" t="e">
        <f>H87+H99+H106+H127+H140+#REF!</f>
        <v>#REF!</v>
      </c>
      <c r="I86" s="183" t="e">
        <f>I87+I99+I106+I127+I140+#REF!</f>
        <v>#REF!</v>
      </c>
      <c r="J86" s="183" t="e">
        <f>J87+J99+J106+J127+J140+#REF!</f>
        <v>#REF!</v>
      </c>
      <c r="K86" s="183">
        <f>K87+K97+K99+K106+K127+K135+K140</f>
        <v>2485311</v>
      </c>
      <c r="L86" s="183">
        <f>L87+L97+L99+L106+L127+L135+L140</f>
        <v>66</v>
      </c>
      <c r="M86" s="183">
        <f>M87+M97+M99+M106+M127+M135+M140</f>
        <v>66</v>
      </c>
      <c r="N86" s="183">
        <f t="shared" si="3"/>
        <v>2485311</v>
      </c>
      <c r="O86" s="183">
        <f>O87+O97+O99+O106+O127+O135+O140</f>
        <v>115748</v>
      </c>
      <c r="P86" s="183">
        <f>P87+P97+P99+P106+P127+P135+P140</f>
        <v>2314183</v>
      </c>
      <c r="Q86" s="183">
        <f>Q87+Q97+Q99+Q106+Q127+Q135+Q140</f>
        <v>55380</v>
      </c>
    </row>
    <row r="87" spans="1:17" s="112" customFormat="1" ht="18" customHeight="1">
      <c r="A87" s="186" t="s">
        <v>294</v>
      </c>
      <c r="B87" s="176"/>
      <c r="C87" s="181" t="s">
        <v>295</v>
      </c>
      <c r="D87" s="178" t="e">
        <f>D88+D89+D90+#REF!</f>
        <v>#REF!</v>
      </c>
      <c r="E87" s="178" t="e">
        <f>E88+E89+E90+E91+#REF!+E93</f>
        <v>#REF!</v>
      </c>
      <c r="F87" s="178" t="e">
        <f>F88+F89+F90+F91+#REF!+F93</f>
        <v>#REF!</v>
      </c>
      <c r="G87" s="178" t="e">
        <f>G88+G89+G90+G91+#REF!+G93</f>
        <v>#REF!</v>
      </c>
      <c r="H87" s="178" t="e">
        <f>H88+H89+H90+H91+#REF!+H93+H94+H95+H96+#REF!</f>
        <v>#REF!</v>
      </c>
      <c r="I87" s="178" t="e">
        <f>I88+I89+I90+I91+#REF!+I93+I94+I95+I96+#REF!</f>
        <v>#REF!</v>
      </c>
      <c r="J87" s="178" t="e">
        <f>J88+J89+J90+J91+#REF!+J93+J94+J95+J96+#REF!</f>
        <v>#REF!</v>
      </c>
      <c r="K87" s="178">
        <f>SUM(K88:K96)</f>
        <v>102748</v>
      </c>
      <c r="L87" s="178">
        <f>SUM(L88:L96)</f>
        <v>0</v>
      </c>
      <c r="M87" s="178">
        <f>SUM(M88:M96)</f>
        <v>0</v>
      </c>
      <c r="N87" s="178">
        <f t="shared" si="3"/>
        <v>102748</v>
      </c>
      <c r="O87" s="178">
        <f>SUM(O88:O96)</f>
        <v>102748</v>
      </c>
      <c r="P87" s="178">
        <f>SUM(P88:P96)</f>
        <v>0</v>
      </c>
      <c r="Q87" s="178">
        <f>SUM(Q88:Q96)</f>
        <v>0</v>
      </c>
    </row>
    <row r="88" spans="1:17" s="112" customFormat="1" ht="14.25" customHeight="1">
      <c r="A88" s="184"/>
      <c r="B88" s="36" t="s">
        <v>221</v>
      </c>
      <c r="C88" s="42" t="s">
        <v>222</v>
      </c>
      <c r="D88" s="37">
        <v>90000</v>
      </c>
      <c r="E88" s="49">
        <v>90000</v>
      </c>
      <c r="F88" s="49">
        <v>0</v>
      </c>
      <c r="G88" s="49">
        <v>0</v>
      </c>
      <c r="H88" s="49">
        <v>51600</v>
      </c>
      <c r="I88" s="49">
        <v>0</v>
      </c>
      <c r="J88" s="49">
        <v>0</v>
      </c>
      <c r="K88" s="37">
        <v>70400</v>
      </c>
      <c r="L88" s="37"/>
      <c r="M88" s="49"/>
      <c r="N88" s="37">
        <f t="shared" si="3"/>
        <v>70400</v>
      </c>
      <c r="O88" s="49">
        <f aca="true" t="shared" si="17" ref="O88:O96">N88</f>
        <v>70400</v>
      </c>
      <c r="P88" s="172">
        <v>0</v>
      </c>
      <c r="Q88" s="172">
        <v>0</v>
      </c>
    </row>
    <row r="89" spans="1:17" s="112" customFormat="1" ht="15.75" customHeight="1">
      <c r="A89" s="184"/>
      <c r="B89" s="36" t="s">
        <v>225</v>
      </c>
      <c r="C89" s="42" t="s">
        <v>226</v>
      </c>
      <c r="D89" s="37">
        <v>6390</v>
      </c>
      <c r="E89" s="49">
        <v>6390</v>
      </c>
      <c r="F89" s="49">
        <v>0</v>
      </c>
      <c r="G89" s="49">
        <v>0</v>
      </c>
      <c r="H89" s="49">
        <v>3825</v>
      </c>
      <c r="I89" s="49">
        <v>0</v>
      </c>
      <c r="J89" s="49">
        <v>0</v>
      </c>
      <c r="K89" s="37">
        <v>4712</v>
      </c>
      <c r="L89" s="37"/>
      <c r="M89" s="49"/>
      <c r="N89" s="37">
        <f t="shared" si="3"/>
        <v>4712</v>
      </c>
      <c r="O89" s="49">
        <f t="shared" si="17"/>
        <v>4712</v>
      </c>
      <c r="P89" s="172">
        <v>0</v>
      </c>
      <c r="Q89" s="172">
        <v>0</v>
      </c>
    </row>
    <row r="90" spans="1:17" s="112" customFormat="1" ht="16.5" customHeight="1">
      <c r="A90" s="184"/>
      <c r="B90" s="173" t="s">
        <v>290</v>
      </c>
      <c r="C90" s="42" t="s">
        <v>296</v>
      </c>
      <c r="D90" s="37">
        <v>19597</v>
      </c>
      <c r="E90" s="49">
        <v>17235</v>
      </c>
      <c r="F90" s="49">
        <v>0</v>
      </c>
      <c r="G90" s="49">
        <v>0</v>
      </c>
      <c r="H90" s="49">
        <v>9550</v>
      </c>
      <c r="I90" s="49">
        <v>0</v>
      </c>
      <c r="J90" s="49">
        <v>0</v>
      </c>
      <c r="K90" s="37">
        <v>12942</v>
      </c>
      <c r="L90" s="37"/>
      <c r="M90" s="49"/>
      <c r="N90" s="37">
        <f t="shared" si="3"/>
        <v>12942</v>
      </c>
      <c r="O90" s="49">
        <f t="shared" si="17"/>
        <v>12942</v>
      </c>
      <c r="P90" s="172">
        <v>0</v>
      </c>
      <c r="Q90" s="172">
        <v>0</v>
      </c>
    </row>
    <row r="91" spans="1:17" s="112" customFormat="1" ht="15" customHeight="1">
      <c r="A91" s="184"/>
      <c r="B91" s="173" t="s">
        <v>229</v>
      </c>
      <c r="C91" s="42" t="s">
        <v>230</v>
      </c>
      <c r="D91" s="37"/>
      <c r="E91" s="49">
        <v>2362</v>
      </c>
      <c r="F91" s="49">
        <v>0</v>
      </c>
      <c r="G91" s="49">
        <v>0</v>
      </c>
      <c r="H91" s="49">
        <v>1358</v>
      </c>
      <c r="I91" s="49">
        <v>0</v>
      </c>
      <c r="J91" s="49">
        <v>0</v>
      </c>
      <c r="K91" s="37">
        <v>1840</v>
      </c>
      <c r="L91" s="37"/>
      <c r="M91" s="49"/>
      <c r="N91" s="37">
        <f t="shared" si="3"/>
        <v>1840</v>
      </c>
      <c r="O91" s="49">
        <f t="shared" si="17"/>
        <v>1840</v>
      </c>
      <c r="P91" s="172">
        <v>0</v>
      </c>
      <c r="Q91" s="172">
        <v>0</v>
      </c>
    </row>
    <row r="92" spans="1:17" s="112" customFormat="1" ht="15" customHeight="1">
      <c r="A92" s="184"/>
      <c r="B92" s="36" t="s">
        <v>261</v>
      </c>
      <c r="C92" s="42" t="s">
        <v>262</v>
      </c>
      <c r="D92" s="37"/>
      <c r="E92" s="49"/>
      <c r="F92" s="49"/>
      <c r="G92" s="49"/>
      <c r="H92" s="49"/>
      <c r="I92" s="49"/>
      <c r="J92" s="49"/>
      <c r="K92" s="37">
        <v>7160</v>
      </c>
      <c r="L92" s="37"/>
      <c r="M92" s="49"/>
      <c r="N92" s="37">
        <f aca="true" t="shared" si="18" ref="N92:N155">K92+L92-M92</f>
        <v>7160</v>
      </c>
      <c r="O92" s="49">
        <f t="shared" si="17"/>
        <v>7160</v>
      </c>
      <c r="P92" s="172">
        <v>0</v>
      </c>
      <c r="Q92" s="172">
        <v>0</v>
      </c>
    </row>
    <row r="93" spans="1:17" s="112" customFormat="1" ht="15" customHeight="1">
      <c r="A93" s="184"/>
      <c r="B93" s="36" t="s">
        <v>231</v>
      </c>
      <c r="C93" s="42" t="s">
        <v>232</v>
      </c>
      <c r="D93" s="37"/>
      <c r="E93" s="49">
        <v>3103</v>
      </c>
      <c r="F93" s="49">
        <v>0</v>
      </c>
      <c r="G93" s="49">
        <v>0</v>
      </c>
      <c r="H93" s="49">
        <v>1691</v>
      </c>
      <c r="I93" s="49">
        <v>0</v>
      </c>
      <c r="J93" s="49">
        <v>0</v>
      </c>
      <c r="K93" s="37">
        <v>1060</v>
      </c>
      <c r="L93" s="37"/>
      <c r="M93" s="49"/>
      <c r="N93" s="37">
        <f t="shared" si="18"/>
        <v>1060</v>
      </c>
      <c r="O93" s="49">
        <f t="shared" si="17"/>
        <v>1060</v>
      </c>
      <c r="P93" s="172">
        <v>0</v>
      </c>
      <c r="Q93" s="172">
        <v>0</v>
      </c>
    </row>
    <row r="94" spans="1:17" s="112" customFormat="1" ht="14.25" customHeight="1">
      <c r="A94" s="184"/>
      <c r="B94" s="36" t="s">
        <v>237</v>
      </c>
      <c r="C94" s="42" t="s">
        <v>297</v>
      </c>
      <c r="D94" s="37"/>
      <c r="E94" s="49"/>
      <c r="F94" s="49"/>
      <c r="G94" s="49"/>
      <c r="H94" s="49">
        <v>17600</v>
      </c>
      <c r="I94" s="49">
        <v>0</v>
      </c>
      <c r="J94" s="49">
        <v>0</v>
      </c>
      <c r="K94" s="37">
        <v>1400</v>
      </c>
      <c r="L94" s="37"/>
      <c r="M94" s="49"/>
      <c r="N94" s="37">
        <f t="shared" si="18"/>
        <v>1400</v>
      </c>
      <c r="O94" s="49">
        <f t="shared" si="17"/>
        <v>1400</v>
      </c>
      <c r="P94" s="172">
        <v>0</v>
      </c>
      <c r="Q94" s="172">
        <v>0</v>
      </c>
    </row>
    <row r="95" spans="1:17" s="112" customFormat="1" ht="15" customHeight="1">
      <c r="A95" s="184"/>
      <c r="B95" s="36" t="s">
        <v>239</v>
      </c>
      <c r="C95" s="42" t="s">
        <v>240</v>
      </c>
      <c r="D95" s="37"/>
      <c r="E95" s="49"/>
      <c r="F95" s="49"/>
      <c r="G95" s="49"/>
      <c r="H95" s="49">
        <v>2225</v>
      </c>
      <c r="I95" s="49">
        <v>0</v>
      </c>
      <c r="J95" s="49">
        <v>0</v>
      </c>
      <c r="K95" s="37">
        <v>600</v>
      </c>
      <c r="L95" s="37"/>
      <c r="M95" s="49"/>
      <c r="N95" s="37">
        <f t="shared" si="18"/>
        <v>600</v>
      </c>
      <c r="O95" s="49">
        <f t="shared" si="17"/>
        <v>600</v>
      </c>
      <c r="P95" s="172">
        <v>0</v>
      </c>
      <c r="Q95" s="172">
        <v>0</v>
      </c>
    </row>
    <row r="96" spans="1:17" s="112" customFormat="1" ht="15" customHeight="1">
      <c r="A96" s="184"/>
      <c r="B96" s="36" t="s">
        <v>243</v>
      </c>
      <c r="C96" s="42" t="s">
        <v>244</v>
      </c>
      <c r="D96" s="37"/>
      <c r="E96" s="49"/>
      <c r="F96" s="49"/>
      <c r="G96" s="49"/>
      <c r="H96" s="197">
        <v>1250</v>
      </c>
      <c r="I96" s="197">
        <v>0</v>
      </c>
      <c r="J96" s="197">
        <v>0</v>
      </c>
      <c r="K96" s="37">
        <v>2634</v>
      </c>
      <c r="L96" s="198"/>
      <c r="M96" s="197"/>
      <c r="N96" s="37">
        <f t="shared" si="18"/>
        <v>2634</v>
      </c>
      <c r="O96" s="49">
        <f t="shared" si="17"/>
        <v>2634</v>
      </c>
      <c r="P96" s="172">
        <v>0</v>
      </c>
      <c r="Q96" s="172">
        <v>0</v>
      </c>
    </row>
    <row r="97" spans="1:17" s="201" customFormat="1" ht="17.25" customHeight="1">
      <c r="A97" s="186" t="s">
        <v>298</v>
      </c>
      <c r="B97" s="176"/>
      <c r="C97" s="181" t="s">
        <v>299</v>
      </c>
      <c r="D97" s="178"/>
      <c r="E97" s="178"/>
      <c r="F97" s="178"/>
      <c r="G97" s="178"/>
      <c r="H97" s="178"/>
      <c r="I97" s="178"/>
      <c r="J97" s="178"/>
      <c r="K97" s="178">
        <f>K98</f>
        <v>3380</v>
      </c>
      <c r="L97" s="178">
        <f>L98</f>
        <v>0</v>
      </c>
      <c r="M97" s="178">
        <f>M98</f>
        <v>0</v>
      </c>
      <c r="N97" s="178">
        <f t="shared" si="18"/>
        <v>3380</v>
      </c>
      <c r="O97" s="178">
        <f>O98</f>
        <v>0</v>
      </c>
      <c r="P97" s="179">
        <f>P98</f>
        <v>0</v>
      </c>
      <c r="Q97" s="179">
        <f>Q98</f>
        <v>3380</v>
      </c>
    </row>
    <row r="98" spans="1:17" s="112" customFormat="1" ht="21.75" customHeight="1">
      <c r="A98" s="184"/>
      <c r="B98" s="36" t="s">
        <v>300</v>
      </c>
      <c r="C98" s="87" t="s">
        <v>301</v>
      </c>
      <c r="D98" s="37"/>
      <c r="E98" s="49"/>
      <c r="F98" s="49"/>
      <c r="G98" s="49"/>
      <c r="H98" s="49"/>
      <c r="I98" s="49"/>
      <c r="J98" s="49"/>
      <c r="K98" s="37">
        <v>3380</v>
      </c>
      <c r="L98" s="37"/>
      <c r="M98" s="49"/>
      <c r="N98" s="37">
        <f t="shared" si="18"/>
        <v>3380</v>
      </c>
      <c r="O98" s="49">
        <v>0</v>
      </c>
      <c r="P98" s="172">
        <v>0</v>
      </c>
      <c r="Q98" s="172">
        <f>N98</f>
        <v>3380</v>
      </c>
    </row>
    <row r="99" spans="1:17" s="201" customFormat="1" ht="16.5" customHeight="1">
      <c r="A99" s="186" t="s">
        <v>302</v>
      </c>
      <c r="B99" s="176"/>
      <c r="C99" s="181" t="s">
        <v>303</v>
      </c>
      <c r="D99" s="178">
        <f>D100</f>
        <v>134900</v>
      </c>
      <c r="E99" s="178" t="e">
        <f>E100+#REF!+#REF!+#REF!</f>
        <v>#REF!</v>
      </c>
      <c r="F99" s="178" t="e">
        <f>F100+#REF!+#REF!+#REF!</f>
        <v>#REF!</v>
      </c>
      <c r="G99" s="178" t="e">
        <f>G100+#REF!+#REF!+#REF!</f>
        <v>#REF!</v>
      </c>
      <c r="H99" s="178">
        <f>H100+H101+H103</f>
        <v>86060</v>
      </c>
      <c r="I99" s="178">
        <f>I100+I101+I103</f>
        <v>0</v>
      </c>
      <c r="J99" s="178">
        <f>J100+J101+J103</f>
        <v>0</v>
      </c>
      <c r="K99" s="178">
        <f>SUM(K100:K105)</f>
        <v>82800</v>
      </c>
      <c r="L99" s="178">
        <f>SUM(L100:L105)</f>
        <v>0</v>
      </c>
      <c r="M99" s="178">
        <f>SUM(M100:M105)</f>
        <v>0</v>
      </c>
      <c r="N99" s="178">
        <f t="shared" si="18"/>
        <v>82800</v>
      </c>
      <c r="O99" s="178">
        <f>SUM(O100:O105)</f>
        <v>0</v>
      </c>
      <c r="P99" s="178">
        <f>SUM(P100:P105)</f>
        <v>82800</v>
      </c>
      <c r="Q99" s="178">
        <f>SUM(Q100:Q105)</f>
        <v>0</v>
      </c>
    </row>
    <row r="100" spans="1:17" s="112" customFormat="1" ht="12.75" customHeight="1">
      <c r="A100" s="184"/>
      <c r="B100" s="36" t="s">
        <v>219</v>
      </c>
      <c r="C100" s="42" t="s">
        <v>251</v>
      </c>
      <c r="D100" s="37">
        <v>134900</v>
      </c>
      <c r="E100" s="49">
        <v>191600</v>
      </c>
      <c r="F100" s="49">
        <v>0</v>
      </c>
      <c r="G100" s="49">
        <v>0</v>
      </c>
      <c r="H100" s="49">
        <v>74690</v>
      </c>
      <c r="I100" s="49">
        <v>0</v>
      </c>
      <c r="J100" s="49">
        <v>0</v>
      </c>
      <c r="K100" s="37">
        <v>60000</v>
      </c>
      <c r="L100" s="37"/>
      <c r="M100" s="49"/>
      <c r="N100" s="37">
        <f t="shared" si="18"/>
        <v>60000</v>
      </c>
      <c r="O100" s="49">
        <v>0</v>
      </c>
      <c r="P100" s="172">
        <f aca="true" t="shared" si="19" ref="P100:P105">N100</f>
        <v>60000</v>
      </c>
      <c r="Q100" s="172">
        <v>0</v>
      </c>
    </row>
    <row r="101" spans="1:17" s="112" customFormat="1" ht="12.75" customHeight="1">
      <c r="A101" s="184"/>
      <c r="B101" s="36" t="s">
        <v>231</v>
      </c>
      <c r="C101" s="42" t="s">
        <v>232</v>
      </c>
      <c r="D101" s="37"/>
      <c r="E101" s="49"/>
      <c r="F101" s="49"/>
      <c r="G101" s="49"/>
      <c r="H101" s="49">
        <v>3670</v>
      </c>
      <c r="I101" s="49">
        <v>0</v>
      </c>
      <c r="J101" s="49">
        <v>0</v>
      </c>
      <c r="K101" s="37">
        <v>12100</v>
      </c>
      <c r="L101" s="37"/>
      <c r="M101" s="49">
        <v>0</v>
      </c>
      <c r="N101" s="37">
        <f t="shared" si="18"/>
        <v>12100</v>
      </c>
      <c r="O101" s="49">
        <v>0</v>
      </c>
      <c r="P101" s="172">
        <f t="shared" si="19"/>
        <v>12100</v>
      </c>
      <c r="Q101" s="172">
        <v>0</v>
      </c>
    </row>
    <row r="102" spans="1:17" s="112" customFormat="1" ht="12.75" customHeight="1">
      <c r="A102" s="184"/>
      <c r="B102" s="36" t="s">
        <v>233</v>
      </c>
      <c r="C102" s="42" t="s">
        <v>291</v>
      </c>
      <c r="D102" s="37"/>
      <c r="E102" s="49"/>
      <c r="F102" s="49"/>
      <c r="G102" s="49"/>
      <c r="H102" s="49"/>
      <c r="I102" s="49"/>
      <c r="J102" s="49"/>
      <c r="K102" s="37">
        <v>1800</v>
      </c>
      <c r="L102" s="37"/>
      <c r="M102" s="49">
        <v>0</v>
      </c>
      <c r="N102" s="37">
        <f t="shared" si="18"/>
        <v>1800</v>
      </c>
      <c r="O102" s="49">
        <v>0</v>
      </c>
      <c r="P102" s="172">
        <f t="shared" si="19"/>
        <v>1800</v>
      </c>
      <c r="Q102" s="172">
        <v>0</v>
      </c>
    </row>
    <row r="103" spans="1:17" s="112" customFormat="1" ht="12.75" customHeight="1">
      <c r="A103" s="184"/>
      <c r="B103" s="36" t="s">
        <v>237</v>
      </c>
      <c r="C103" s="42" t="s">
        <v>297</v>
      </c>
      <c r="D103" s="37"/>
      <c r="E103" s="49"/>
      <c r="F103" s="49"/>
      <c r="G103" s="49"/>
      <c r="H103" s="49">
        <v>7700</v>
      </c>
      <c r="I103" s="49">
        <v>0</v>
      </c>
      <c r="J103" s="49">
        <v>0</v>
      </c>
      <c r="K103" s="37">
        <v>7400</v>
      </c>
      <c r="L103" s="37"/>
      <c r="M103" s="49">
        <v>0</v>
      </c>
      <c r="N103" s="37">
        <f t="shared" si="18"/>
        <v>7400</v>
      </c>
      <c r="O103" s="49">
        <v>0</v>
      </c>
      <c r="P103" s="172">
        <f t="shared" si="19"/>
        <v>7400</v>
      </c>
      <c r="Q103" s="172">
        <v>0</v>
      </c>
    </row>
    <row r="104" spans="1:17" s="112" customFormat="1" ht="12.75" customHeight="1">
      <c r="A104" s="184"/>
      <c r="B104" s="36" t="s">
        <v>239</v>
      </c>
      <c r="C104" s="42" t="s">
        <v>240</v>
      </c>
      <c r="D104" s="37"/>
      <c r="E104" s="49"/>
      <c r="F104" s="49"/>
      <c r="G104" s="49"/>
      <c r="H104" s="49"/>
      <c r="I104" s="49"/>
      <c r="J104" s="49"/>
      <c r="K104" s="37">
        <v>500</v>
      </c>
      <c r="L104" s="37"/>
      <c r="M104" s="49"/>
      <c r="N104" s="37">
        <f t="shared" si="18"/>
        <v>500</v>
      </c>
      <c r="O104" s="49">
        <v>0</v>
      </c>
      <c r="P104" s="172">
        <f t="shared" si="19"/>
        <v>500</v>
      </c>
      <c r="Q104" s="172">
        <v>0</v>
      </c>
    </row>
    <row r="105" spans="1:17" s="112" customFormat="1" ht="12.75" customHeight="1">
      <c r="A105" s="184"/>
      <c r="B105" s="36" t="s">
        <v>304</v>
      </c>
      <c r="C105" s="42" t="s">
        <v>305</v>
      </c>
      <c r="D105" s="37"/>
      <c r="E105" s="49"/>
      <c r="F105" s="49"/>
      <c r="G105" s="49"/>
      <c r="H105" s="49"/>
      <c r="I105" s="49"/>
      <c r="J105" s="49"/>
      <c r="K105" s="37">
        <v>1000</v>
      </c>
      <c r="L105" s="37"/>
      <c r="M105" s="49"/>
      <c r="N105" s="37">
        <f t="shared" si="18"/>
        <v>1000</v>
      </c>
      <c r="O105" s="49">
        <v>0</v>
      </c>
      <c r="P105" s="172">
        <f t="shared" si="19"/>
        <v>1000</v>
      </c>
      <c r="Q105" s="172">
        <v>0</v>
      </c>
    </row>
    <row r="106" spans="1:17" s="201" customFormat="1" ht="15.75" customHeight="1">
      <c r="A106" s="186" t="s">
        <v>306</v>
      </c>
      <c r="B106" s="176"/>
      <c r="C106" s="181" t="s">
        <v>307</v>
      </c>
      <c r="D106" s="178" t="e">
        <f>D108+D109+D110+#REF!+D122+#REF!</f>
        <v>#REF!</v>
      </c>
      <c r="E106" s="178" t="e">
        <f>E108+E109+E110+E112+#REF!+#REF!+E113+E114+#REF!+E116+E118+E120+E121+E122+#REF!+#REF!</f>
        <v>#REF!</v>
      </c>
      <c r="F106" s="178" t="e">
        <f>F108+F109+F110+F112+#REF!+#REF!+F113+F114+#REF!+F116+F118+F120+F121+F122+#REF!+#REF!</f>
        <v>#REF!</v>
      </c>
      <c r="G106" s="178" t="e">
        <f>G108+G109+G110+G112+#REF!+#REF!+G113+G114+#REF!+G116+G118+G120+G121+G122+#REF!+#REF!</f>
        <v>#REF!</v>
      </c>
      <c r="H106" s="178" t="e">
        <f>H108+H109+H110+H112+H107+#REF!+H113+H114+#REF!+H116+H118+H120+H121+#REF!+H122+H123+#REF!+H119</f>
        <v>#REF!</v>
      </c>
      <c r="I106" s="178" t="e">
        <f>I108+I109+I110+I112+I107+#REF!+I113+I114+#REF!+I116+I118+I120+I121+#REF!+I122+I123+#REF!+I119</f>
        <v>#REF!</v>
      </c>
      <c r="J106" s="178" t="e">
        <f>J108+J109+J110+J112+J107+#REF!+J113+J114+#REF!+J116+J118+J120+J121+#REF!+J122+J123+#REF!+J119</f>
        <v>#REF!</v>
      </c>
      <c r="K106" s="178">
        <f>SUM(K107:K126)</f>
        <v>2255383</v>
      </c>
      <c r="L106" s="178">
        <f>SUM(L107:L126)</f>
        <v>66</v>
      </c>
      <c r="M106" s="178">
        <f>SUM(M107:M126)</f>
        <v>66</v>
      </c>
      <c r="N106" s="178">
        <f t="shared" si="18"/>
        <v>2255383</v>
      </c>
      <c r="O106" s="178">
        <f>SUM(O107:O126)</f>
        <v>0</v>
      </c>
      <c r="P106" s="178">
        <f>SUM(P107:P126)</f>
        <v>2203383</v>
      </c>
      <c r="Q106" s="178">
        <f>SUM(Q107:Q126)</f>
        <v>52000</v>
      </c>
    </row>
    <row r="107" spans="1:17" s="112" customFormat="1" ht="16.5" customHeight="1">
      <c r="A107" s="116"/>
      <c r="B107" s="45" t="s">
        <v>217</v>
      </c>
      <c r="C107" s="42" t="s">
        <v>308</v>
      </c>
      <c r="D107" s="37"/>
      <c r="E107" s="49"/>
      <c r="F107" s="49"/>
      <c r="G107" s="49"/>
      <c r="H107" s="49">
        <v>216</v>
      </c>
      <c r="I107" s="49">
        <v>0</v>
      </c>
      <c r="J107" s="49">
        <v>0</v>
      </c>
      <c r="K107" s="37">
        <v>300</v>
      </c>
      <c r="L107" s="37"/>
      <c r="M107" s="49"/>
      <c r="N107" s="37">
        <f t="shared" si="18"/>
        <v>300</v>
      </c>
      <c r="O107" s="49">
        <v>0</v>
      </c>
      <c r="P107" s="172">
        <f aca="true" t="shared" si="20" ref="P107:P123">N107</f>
        <v>300</v>
      </c>
      <c r="Q107" s="172">
        <v>0</v>
      </c>
    </row>
    <row r="108" spans="1:17" s="112" customFormat="1" ht="15.75" customHeight="1">
      <c r="A108" s="116"/>
      <c r="B108" s="45" t="s">
        <v>221</v>
      </c>
      <c r="C108" s="42" t="s">
        <v>222</v>
      </c>
      <c r="D108" s="37">
        <v>1172382</v>
      </c>
      <c r="E108" s="49">
        <v>1396150</v>
      </c>
      <c r="F108" s="49">
        <v>0</v>
      </c>
      <c r="G108" s="49">
        <v>0</v>
      </c>
      <c r="H108" s="49">
        <v>1069576</v>
      </c>
      <c r="I108" s="49">
        <v>0</v>
      </c>
      <c r="J108" s="49">
        <v>0</v>
      </c>
      <c r="K108" s="37">
        <v>1399907</v>
      </c>
      <c r="L108" s="37">
        <v>0</v>
      </c>
      <c r="M108" s="49"/>
      <c r="N108" s="37">
        <f t="shared" si="18"/>
        <v>1399907</v>
      </c>
      <c r="O108" s="49">
        <v>0</v>
      </c>
      <c r="P108" s="172">
        <f t="shared" si="20"/>
        <v>1399907</v>
      </c>
      <c r="Q108" s="172">
        <v>0</v>
      </c>
    </row>
    <row r="109" spans="1:17" s="112" customFormat="1" ht="16.5" customHeight="1">
      <c r="A109" s="116"/>
      <c r="B109" s="45" t="s">
        <v>225</v>
      </c>
      <c r="C109" s="42" t="s">
        <v>226</v>
      </c>
      <c r="D109" s="37">
        <v>77447</v>
      </c>
      <c r="E109" s="49">
        <v>95133</v>
      </c>
      <c r="F109" s="49">
        <v>0</v>
      </c>
      <c r="G109" s="49">
        <v>0</v>
      </c>
      <c r="H109" s="49">
        <v>81433</v>
      </c>
      <c r="I109" s="49">
        <v>0</v>
      </c>
      <c r="J109" s="49">
        <v>0</v>
      </c>
      <c r="K109" s="37">
        <v>71268</v>
      </c>
      <c r="L109" s="37"/>
      <c r="M109" s="49">
        <v>0</v>
      </c>
      <c r="N109" s="37">
        <f t="shared" si="18"/>
        <v>71268</v>
      </c>
      <c r="O109" s="49">
        <v>0</v>
      </c>
      <c r="P109" s="172">
        <f t="shared" si="20"/>
        <v>71268</v>
      </c>
      <c r="Q109" s="172">
        <v>0</v>
      </c>
    </row>
    <row r="110" spans="1:17" s="112" customFormat="1" ht="15" customHeight="1">
      <c r="A110" s="116"/>
      <c r="B110" s="202" t="s">
        <v>290</v>
      </c>
      <c r="C110" s="42" t="s">
        <v>260</v>
      </c>
      <c r="D110" s="37">
        <v>236159</v>
      </c>
      <c r="E110" s="49">
        <v>262390</v>
      </c>
      <c r="F110" s="49">
        <v>0</v>
      </c>
      <c r="G110" s="49">
        <v>0</v>
      </c>
      <c r="H110" s="49">
        <v>195558</v>
      </c>
      <c r="I110" s="49">
        <v>0</v>
      </c>
      <c r="J110" s="49">
        <v>0</v>
      </c>
      <c r="K110" s="37">
        <v>197576</v>
      </c>
      <c r="L110" s="37"/>
      <c r="M110" s="49"/>
      <c r="N110" s="37">
        <f t="shared" si="18"/>
        <v>197576</v>
      </c>
      <c r="O110" s="49">
        <v>0</v>
      </c>
      <c r="P110" s="172">
        <f t="shared" si="20"/>
        <v>197576</v>
      </c>
      <c r="Q110" s="172">
        <v>0</v>
      </c>
    </row>
    <row r="111" spans="1:17" s="112" customFormat="1" ht="15" customHeight="1">
      <c r="A111" s="116"/>
      <c r="B111" s="202" t="s">
        <v>229</v>
      </c>
      <c r="C111" s="42" t="s">
        <v>230</v>
      </c>
      <c r="D111" s="37"/>
      <c r="E111" s="49"/>
      <c r="F111" s="49"/>
      <c r="G111" s="49"/>
      <c r="H111" s="49"/>
      <c r="I111" s="49"/>
      <c r="J111" s="49"/>
      <c r="K111" s="37">
        <v>31817</v>
      </c>
      <c r="L111" s="37"/>
      <c r="M111" s="49"/>
      <c r="N111" s="37">
        <f t="shared" si="18"/>
        <v>31817</v>
      </c>
      <c r="O111" s="49">
        <v>0</v>
      </c>
      <c r="P111" s="172">
        <f t="shared" si="20"/>
        <v>31817</v>
      </c>
      <c r="Q111" s="172">
        <v>0</v>
      </c>
    </row>
    <row r="112" spans="1:17" s="112" customFormat="1" ht="13.5" customHeight="1">
      <c r="A112" s="116"/>
      <c r="B112" s="202" t="s">
        <v>261</v>
      </c>
      <c r="C112" s="42" t="s">
        <v>262</v>
      </c>
      <c r="D112" s="37"/>
      <c r="E112" s="49">
        <v>35746</v>
      </c>
      <c r="F112" s="49">
        <v>0</v>
      </c>
      <c r="G112" s="49">
        <v>0</v>
      </c>
      <c r="H112" s="49">
        <v>27881</v>
      </c>
      <c r="I112" s="49">
        <v>0</v>
      </c>
      <c r="J112" s="49">
        <v>0</v>
      </c>
      <c r="K112" s="37">
        <v>2000</v>
      </c>
      <c r="L112" s="37"/>
      <c r="M112" s="49"/>
      <c r="N112" s="37">
        <f t="shared" si="18"/>
        <v>2000</v>
      </c>
      <c r="O112" s="49">
        <v>0</v>
      </c>
      <c r="P112" s="172">
        <f t="shared" si="20"/>
        <v>2000</v>
      </c>
      <c r="Q112" s="172">
        <v>0</v>
      </c>
    </row>
    <row r="113" spans="1:17" s="112" customFormat="1" ht="15.75" customHeight="1">
      <c r="A113" s="116"/>
      <c r="B113" s="45" t="s">
        <v>231</v>
      </c>
      <c r="C113" s="42" t="s">
        <v>263</v>
      </c>
      <c r="D113" s="37"/>
      <c r="E113" s="49">
        <v>125516</v>
      </c>
      <c r="F113" s="49">
        <v>18656</v>
      </c>
      <c r="G113" s="49">
        <v>0</v>
      </c>
      <c r="H113" s="49">
        <v>70370</v>
      </c>
      <c r="I113" s="49">
        <v>0</v>
      </c>
      <c r="J113" s="49">
        <v>0</v>
      </c>
      <c r="K113" s="37">
        <v>58200</v>
      </c>
      <c r="L113" s="37"/>
      <c r="M113" s="49"/>
      <c r="N113" s="37">
        <f t="shared" si="18"/>
        <v>58200</v>
      </c>
      <c r="O113" s="49">
        <v>0</v>
      </c>
      <c r="P113" s="172">
        <f t="shared" si="20"/>
        <v>58200</v>
      </c>
      <c r="Q113" s="172">
        <v>0</v>
      </c>
    </row>
    <row r="114" spans="1:17" s="112" customFormat="1" ht="15.75" customHeight="1">
      <c r="A114" s="116"/>
      <c r="B114" s="45" t="s">
        <v>233</v>
      </c>
      <c r="C114" s="42" t="s">
        <v>234</v>
      </c>
      <c r="D114" s="37"/>
      <c r="E114" s="49">
        <v>60600</v>
      </c>
      <c r="F114" s="49">
        <v>0</v>
      </c>
      <c r="G114" s="49">
        <v>0</v>
      </c>
      <c r="H114" s="49">
        <v>70000</v>
      </c>
      <c r="I114" s="49">
        <v>0</v>
      </c>
      <c r="J114" s="49">
        <v>0</v>
      </c>
      <c r="K114" s="37">
        <v>45200</v>
      </c>
      <c r="L114" s="37"/>
      <c r="M114" s="49"/>
      <c r="N114" s="37">
        <f t="shared" si="18"/>
        <v>45200</v>
      </c>
      <c r="O114" s="49">
        <v>0</v>
      </c>
      <c r="P114" s="172">
        <f t="shared" si="20"/>
        <v>45200</v>
      </c>
      <c r="Q114" s="172">
        <v>0</v>
      </c>
    </row>
    <row r="115" spans="1:17" s="112" customFormat="1" ht="15.75" customHeight="1">
      <c r="A115" s="116"/>
      <c r="B115" s="45" t="s">
        <v>235</v>
      </c>
      <c r="C115" s="42" t="s">
        <v>278</v>
      </c>
      <c r="D115" s="37"/>
      <c r="E115" s="49"/>
      <c r="F115" s="49"/>
      <c r="G115" s="49"/>
      <c r="H115" s="49"/>
      <c r="I115" s="49"/>
      <c r="J115" s="49"/>
      <c r="K115" s="37">
        <v>0</v>
      </c>
      <c r="L115" s="37"/>
      <c r="M115" s="49"/>
      <c r="N115" s="37">
        <f t="shared" si="18"/>
        <v>0</v>
      </c>
      <c r="O115" s="49">
        <v>0</v>
      </c>
      <c r="P115" s="172">
        <f t="shared" si="20"/>
        <v>0</v>
      </c>
      <c r="Q115" s="172">
        <v>0</v>
      </c>
    </row>
    <row r="116" spans="1:17" s="112" customFormat="1" ht="13.5" customHeight="1">
      <c r="A116" s="116"/>
      <c r="B116" s="45" t="s">
        <v>237</v>
      </c>
      <c r="C116" s="42" t="s">
        <v>238</v>
      </c>
      <c r="D116" s="37"/>
      <c r="E116" s="49">
        <v>427481</v>
      </c>
      <c r="F116" s="49">
        <v>18859</v>
      </c>
      <c r="G116" s="49">
        <v>0</v>
      </c>
      <c r="H116" s="49">
        <v>385087</v>
      </c>
      <c r="I116" s="49">
        <v>0</v>
      </c>
      <c r="J116" s="49">
        <v>0</v>
      </c>
      <c r="K116" s="37">
        <v>347435</v>
      </c>
      <c r="L116" s="37"/>
      <c r="M116" s="49"/>
      <c r="N116" s="37">
        <f t="shared" si="18"/>
        <v>347435</v>
      </c>
      <c r="O116" s="49">
        <v>0</v>
      </c>
      <c r="P116" s="172">
        <f t="shared" si="20"/>
        <v>347435</v>
      </c>
      <c r="Q116" s="172">
        <v>0</v>
      </c>
    </row>
    <row r="117" spans="1:17" s="112" customFormat="1" ht="13.5" customHeight="1">
      <c r="A117" s="116"/>
      <c r="B117" s="45" t="s">
        <v>264</v>
      </c>
      <c r="C117" s="42" t="s">
        <v>309</v>
      </c>
      <c r="D117" s="37"/>
      <c r="E117" s="49"/>
      <c r="F117" s="49"/>
      <c r="G117" s="49"/>
      <c r="H117" s="49"/>
      <c r="I117" s="49"/>
      <c r="J117" s="49"/>
      <c r="K117" s="37">
        <v>3600</v>
      </c>
      <c r="L117" s="37"/>
      <c r="M117" s="49"/>
      <c r="N117" s="37">
        <f t="shared" si="18"/>
        <v>3600</v>
      </c>
      <c r="O117" s="49">
        <v>0</v>
      </c>
      <c r="P117" s="172">
        <f t="shared" si="20"/>
        <v>3600</v>
      </c>
      <c r="Q117" s="172">
        <v>0</v>
      </c>
    </row>
    <row r="118" spans="1:17" s="112" customFormat="1" ht="14.25" customHeight="1">
      <c r="A118" s="116"/>
      <c r="B118" s="45" t="s">
        <v>239</v>
      </c>
      <c r="C118" s="42" t="s">
        <v>240</v>
      </c>
      <c r="D118" s="37"/>
      <c r="E118" s="49">
        <v>10250</v>
      </c>
      <c r="F118" s="49">
        <v>761</v>
      </c>
      <c r="G118" s="49">
        <v>0</v>
      </c>
      <c r="H118" s="49">
        <v>7000</v>
      </c>
      <c r="I118" s="49">
        <v>0</v>
      </c>
      <c r="J118" s="49">
        <v>0</v>
      </c>
      <c r="K118" s="37">
        <v>8850</v>
      </c>
      <c r="L118" s="37"/>
      <c r="M118" s="49"/>
      <c r="N118" s="37">
        <f t="shared" si="18"/>
        <v>8850</v>
      </c>
      <c r="O118" s="49">
        <v>0</v>
      </c>
      <c r="P118" s="172">
        <f t="shared" si="20"/>
        <v>8850</v>
      </c>
      <c r="Q118" s="172">
        <v>0</v>
      </c>
    </row>
    <row r="119" spans="1:17" s="112" customFormat="1" ht="14.25" customHeight="1">
      <c r="A119" s="116"/>
      <c r="B119" s="45" t="s">
        <v>304</v>
      </c>
      <c r="C119" s="42" t="s">
        <v>305</v>
      </c>
      <c r="D119" s="37"/>
      <c r="E119" s="49"/>
      <c r="F119" s="49"/>
      <c r="G119" s="49"/>
      <c r="H119" s="49">
        <v>1000</v>
      </c>
      <c r="I119" s="49">
        <v>0</v>
      </c>
      <c r="J119" s="49">
        <v>0</v>
      </c>
      <c r="K119" s="37">
        <v>2000</v>
      </c>
      <c r="L119" s="37"/>
      <c r="M119" s="49"/>
      <c r="N119" s="37">
        <f t="shared" si="18"/>
        <v>2000</v>
      </c>
      <c r="O119" s="49">
        <v>0</v>
      </c>
      <c r="P119" s="172">
        <f t="shared" si="20"/>
        <v>2000</v>
      </c>
      <c r="Q119" s="172">
        <v>0</v>
      </c>
    </row>
    <row r="120" spans="1:17" s="112" customFormat="1" ht="15.75" customHeight="1">
      <c r="A120" s="116"/>
      <c r="B120" s="45" t="s">
        <v>241</v>
      </c>
      <c r="C120" s="42" t="s">
        <v>242</v>
      </c>
      <c r="D120" s="37"/>
      <c r="E120" s="49">
        <v>14454</v>
      </c>
      <c r="F120" s="49">
        <v>0</v>
      </c>
      <c r="G120" s="49">
        <v>761</v>
      </c>
      <c r="H120" s="49">
        <v>11800</v>
      </c>
      <c r="I120" s="49">
        <v>0</v>
      </c>
      <c r="J120" s="49">
        <v>0</v>
      </c>
      <c r="K120" s="37">
        <v>617</v>
      </c>
      <c r="L120" s="37"/>
      <c r="M120" s="49"/>
      <c r="N120" s="37">
        <f t="shared" si="18"/>
        <v>617</v>
      </c>
      <c r="O120" s="49">
        <v>0</v>
      </c>
      <c r="P120" s="172">
        <f t="shared" si="20"/>
        <v>617</v>
      </c>
      <c r="Q120" s="172">
        <v>0</v>
      </c>
    </row>
    <row r="121" spans="1:17" s="112" customFormat="1" ht="16.5" customHeight="1">
      <c r="A121" s="116"/>
      <c r="B121" s="45" t="s">
        <v>243</v>
      </c>
      <c r="C121" s="42" t="s">
        <v>244</v>
      </c>
      <c r="D121" s="37"/>
      <c r="E121" s="49">
        <v>40505</v>
      </c>
      <c r="F121" s="49">
        <v>0</v>
      </c>
      <c r="G121" s="49">
        <v>0</v>
      </c>
      <c r="H121" s="49">
        <v>29427</v>
      </c>
      <c r="I121" s="49">
        <v>0</v>
      </c>
      <c r="J121" s="49">
        <v>0</v>
      </c>
      <c r="K121" s="37">
        <v>32363</v>
      </c>
      <c r="L121" s="37">
        <v>66</v>
      </c>
      <c r="M121" s="49"/>
      <c r="N121" s="37">
        <f t="shared" si="18"/>
        <v>32429</v>
      </c>
      <c r="O121" s="49">
        <v>0</v>
      </c>
      <c r="P121" s="172">
        <f t="shared" si="20"/>
        <v>32429</v>
      </c>
      <c r="Q121" s="172">
        <v>0</v>
      </c>
    </row>
    <row r="122" spans="1:17" s="112" customFormat="1" ht="15.75" customHeight="1">
      <c r="A122" s="168"/>
      <c r="B122" s="202" t="s">
        <v>266</v>
      </c>
      <c r="C122" s="42" t="s">
        <v>267</v>
      </c>
      <c r="D122" s="37">
        <v>41000</v>
      </c>
      <c r="E122" s="49">
        <v>17600</v>
      </c>
      <c r="F122" s="49">
        <v>0</v>
      </c>
      <c r="G122" s="49">
        <v>0</v>
      </c>
      <c r="H122" s="49">
        <v>153</v>
      </c>
      <c r="I122" s="49">
        <v>0</v>
      </c>
      <c r="J122" s="49">
        <v>0</v>
      </c>
      <c r="K122" s="37">
        <v>250</v>
      </c>
      <c r="L122" s="37"/>
      <c r="M122" s="49">
        <v>66</v>
      </c>
      <c r="N122" s="37">
        <f t="shared" si="18"/>
        <v>184</v>
      </c>
      <c r="O122" s="49">
        <v>0</v>
      </c>
      <c r="P122" s="172">
        <f t="shared" si="20"/>
        <v>184</v>
      </c>
      <c r="Q122" s="172">
        <v>0</v>
      </c>
    </row>
    <row r="123" spans="1:17" s="112" customFormat="1" ht="13.5" customHeight="1">
      <c r="A123" s="168"/>
      <c r="B123" s="202" t="s">
        <v>310</v>
      </c>
      <c r="C123" s="42" t="s">
        <v>311</v>
      </c>
      <c r="D123" s="37"/>
      <c r="E123" s="49"/>
      <c r="F123" s="49"/>
      <c r="G123" s="49"/>
      <c r="H123" s="49">
        <v>500</v>
      </c>
      <c r="I123" s="49">
        <v>0</v>
      </c>
      <c r="J123" s="49">
        <v>0</v>
      </c>
      <c r="K123" s="37">
        <v>2000</v>
      </c>
      <c r="L123" s="37"/>
      <c r="M123" s="49"/>
      <c r="N123" s="37">
        <f t="shared" si="18"/>
        <v>2000</v>
      </c>
      <c r="O123" s="49">
        <v>0</v>
      </c>
      <c r="P123" s="172">
        <f t="shared" si="20"/>
        <v>2000</v>
      </c>
      <c r="Q123" s="172">
        <v>0</v>
      </c>
    </row>
    <row r="124" spans="1:17" s="112" customFormat="1" ht="13.5" customHeight="1">
      <c r="A124" s="168"/>
      <c r="B124" s="202" t="s">
        <v>248</v>
      </c>
      <c r="C124" s="42" t="s">
        <v>312</v>
      </c>
      <c r="D124" s="37"/>
      <c r="E124" s="49"/>
      <c r="F124" s="49"/>
      <c r="G124" s="49"/>
      <c r="H124" s="49"/>
      <c r="I124" s="49"/>
      <c r="J124" s="49"/>
      <c r="K124" s="37">
        <v>10000</v>
      </c>
      <c r="L124" s="37"/>
      <c r="M124" s="49"/>
      <c r="N124" s="37">
        <f t="shared" si="18"/>
        <v>10000</v>
      </c>
      <c r="O124" s="49">
        <v>0</v>
      </c>
      <c r="P124" s="172">
        <f>N124-Q124</f>
        <v>0</v>
      </c>
      <c r="Q124" s="172">
        <f>N124</f>
        <v>10000</v>
      </c>
    </row>
    <row r="125" spans="1:17" s="112" customFormat="1" ht="43.5" customHeight="1">
      <c r="A125" s="116"/>
      <c r="B125" s="45" t="s">
        <v>313</v>
      </c>
      <c r="C125" s="87" t="s">
        <v>314</v>
      </c>
      <c r="D125" s="37"/>
      <c r="E125" s="49"/>
      <c r="F125" s="49"/>
      <c r="G125" s="49"/>
      <c r="H125" s="49"/>
      <c r="I125" s="49"/>
      <c r="J125" s="49"/>
      <c r="K125" s="37">
        <v>42000</v>
      </c>
      <c r="L125" s="37"/>
      <c r="M125" s="49"/>
      <c r="N125" s="37">
        <f t="shared" si="18"/>
        <v>42000</v>
      </c>
      <c r="O125" s="49">
        <v>0</v>
      </c>
      <c r="P125" s="172">
        <v>0</v>
      </c>
      <c r="Q125" s="172">
        <f>N125</f>
        <v>42000</v>
      </c>
    </row>
    <row r="126" spans="1:17" s="112" customFormat="1" ht="13.5" customHeight="1">
      <c r="A126" s="116"/>
      <c r="B126" s="45" t="s">
        <v>270</v>
      </c>
      <c r="C126" s="42" t="s">
        <v>271</v>
      </c>
      <c r="D126" s="37"/>
      <c r="E126" s="49"/>
      <c r="F126" s="49"/>
      <c r="G126" s="49"/>
      <c r="H126" s="49"/>
      <c r="I126" s="49"/>
      <c r="J126" s="49"/>
      <c r="K126" s="37">
        <v>0</v>
      </c>
      <c r="L126" s="37"/>
      <c r="M126" s="49"/>
      <c r="N126" s="37">
        <f t="shared" si="18"/>
        <v>0</v>
      </c>
      <c r="O126" s="49">
        <v>0</v>
      </c>
      <c r="P126" s="172">
        <f>N126</f>
        <v>0</v>
      </c>
      <c r="Q126" s="172">
        <f>N126</f>
        <v>0</v>
      </c>
    </row>
    <row r="127" spans="1:17" s="112" customFormat="1" ht="15" customHeight="1">
      <c r="A127" s="186" t="s">
        <v>315</v>
      </c>
      <c r="B127" s="176"/>
      <c r="C127" s="181" t="s">
        <v>84</v>
      </c>
      <c r="D127" s="178">
        <f>D129</f>
        <v>22000</v>
      </c>
      <c r="E127" s="178" t="e">
        <f>E129+E130+#REF!+E132+E133+E134</f>
        <v>#REF!</v>
      </c>
      <c r="F127" s="178" t="e">
        <f>F129+F130+#REF!+F132+F133+F134</f>
        <v>#REF!</v>
      </c>
      <c r="G127" s="178" t="e">
        <f>G129+G130+#REF!+G132+G133+G134</f>
        <v>#REF!</v>
      </c>
      <c r="H127" s="178">
        <f>H128+H129+H130+H132+H133+H134</f>
        <v>14177</v>
      </c>
      <c r="I127" s="178">
        <f>I128+I129+I130+I132+I133+I134</f>
        <v>0</v>
      </c>
      <c r="J127" s="178">
        <f>J128+J129+J130+J132+J133+J134</f>
        <v>0</v>
      </c>
      <c r="K127" s="178">
        <f>K128+K129+K130+K131+K132+K133+K134</f>
        <v>13000</v>
      </c>
      <c r="L127" s="178">
        <f>L128+L129+L130+L131+L132+L133+L134</f>
        <v>0</v>
      </c>
      <c r="M127" s="178">
        <f>M128+M129+M130+M131+M132+M133+M134</f>
        <v>0</v>
      </c>
      <c r="N127" s="178">
        <f t="shared" si="18"/>
        <v>13000</v>
      </c>
      <c r="O127" s="178">
        <f>O129+O130+O131+O132+O133+O134+O128</f>
        <v>13000</v>
      </c>
      <c r="P127" s="179">
        <f>P128+P129+P130+P131+P132+P133+P134</f>
        <v>0</v>
      </c>
      <c r="Q127" s="179">
        <f>Q128+Q129+Q130+Q131+Q132+Q133+Q134</f>
        <v>0</v>
      </c>
    </row>
    <row r="128" spans="1:17" s="112" customFormat="1" ht="16.5" customHeight="1">
      <c r="A128" s="168"/>
      <c r="B128" s="45" t="s">
        <v>219</v>
      </c>
      <c r="C128" s="42" t="s">
        <v>251</v>
      </c>
      <c r="D128" s="49"/>
      <c r="E128" s="49"/>
      <c r="F128" s="49"/>
      <c r="G128" s="49"/>
      <c r="H128" s="49">
        <v>5842</v>
      </c>
      <c r="I128" s="49">
        <v>0</v>
      </c>
      <c r="J128" s="49">
        <v>0</v>
      </c>
      <c r="K128" s="37">
        <v>5330</v>
      </c>
      <c r="L128" s="37"/>
      <c r="M128" s="49">
        <v>0</v>
      </c>
      <c r="N128" s="37">
        <f t="shared" si="18"/>
        <v>5330</v>
      </c>
      <c r="O128" s="49">
        <f aca="true" t="shared" si="21" ref="O128:O134">N128</f>
        <v>5330</v>
      </c>
      <c r="P128" s="170">
        <v>0</v>
      </c>
      <c r="Q128" s="170">
        <v>0</v>
      </c>
    </row>
    <row r="129" spans="1:17" s="112" customFormat="1" ht="15.75" customHeight="1">
      <c r="A129" s="116"/>
      <c r="B129" s="45" t="s">
        <v>259</v>
      </c>
      <c r="C129" s="42" t="s">
        <v>316</v>
      </c>
      <c r="D129" s="37">
        <v>22000</v>
      </c>
      <c r="E129" s="49">
        <v>963</v>
      </c>
      <c r="F129" s="49">
        <v>0</v>
      </c>
      <c r="G129" s="49">
        <v>0</v>
      </c>
      <c r="H129" s="49">
        <v>465</v>
      </c>
      <c r="I129" s="49">
        <v>0</v>
      </c>
      <c r="J129" s="49">
        <v>0</v>
      </c>
      <c r="K129" s="37">
        <v>775</v>
      </c>
      <c r="L129" s="37">
        <v>0</v>
      </c>
      <c r="M129" s="49"/>
      <c r="N129" s="37">
        <f t="shared" si="18"/>
        <v>775</v>
      </c>
      <c r="O129" s="49">
        <f t="shared" si="21"/>
        <v>775</v>
      </c>
      <c r="P129" s="172">
        <v>0</v>
      </c>
      <c r="Q129" s="172">
        <v>0</v>
      </c>
    </row>
    <row r="130" spans="1:17" s="112" customFormat="1" ht="15.75" customHeight="1">
      <c r="A130" s="116"/>
      <c r="B130" s="45" t="s">
        <v>229</v>
      </c>
      <c r="C130" s="42" t="s">
        <v>230</v>
      </c>
      <c r="D130" s="37"/>
      <c r="E130" s="49">
        <v>132</v>
      </c>
      <c r="F130" s="49">
        <v>0</v>
      </c>
      <c r="G130" s="49">
        <v>0</v>
      </c>
      <c r="H130" s="49">
        <v>66</v>
      </c>
      <c r="I130" s="49">
        <v>0</v>
      </c>
      <c r="J130" s="49">
        <v>0</v>
      </c>
      <c r="K130" s="37">
        <v>110</v>
      </c>
      <c r="L130" s="37">
        <v>0</v>
      </c>
      <c r="M130" s="49"/>
      <c r="N130" s="37">
        <f t="shared" si="18"/>
        <v>110</v>
      </c>
      <c r="O130" s="49">
        <f t="shared" si="21"/>
        <v>110</v>
      </c>
      <c r="P130" s="172">
        <v>0</v>
      </c>
      <c r="Q130" s="172">
        <v>0</v>
      </c>
    </row>
    <row r="131" spans="1:17" s="112" customFormat="1" ht="15.75" customHeight="1">
      <c r="A131" s="116"/>
      <c r="B131" s="45" t="s">
        <v>261</v>
      </c>
      <c r="C131" s="42" t="s">
        <v>262</v>
      </c>
      <c r="D131" s="37"/>
      <c r="E131" s="49"/>
      <c r="F131" s="49"/>
      <c r="G131" s="49"/>
      <c r="H131" s="49"/>
      <c r="I131" s="49"/>
      <c r="J131" s="49"/>
      <c r="K131" s="37">
        <v>5400</v>
      </c>
      <c r="L131" s="37">
        <v>0</v>
      </c>
      <c r="M131" s="49"/>
      <c r="N131" s="37">
        <f t="shared" si="18"/>
        <v>5400</v>
      </c>
      <c r="O131" s="49">
        <f t="shared" si="21"/>
        <v>5400</v>
      </c>
      <c r="P131" s="172">
        <v>0</v>
      </c>
      <c r="Q131" s="172">
        <v>0</v>
      </c>
    </row>
    <row r="132" spans="1:17" s="112" customFormat="1" ht="16.5" customHeight="1">
      <c r="A132" s="116"/>
      <c r="B132" s="45" t="s">
        <v>231</v>
      </c>
      <c r="C132" s="42" t="s">
        <v>263</v>
      </c>
      <c r="D132" s="37"/>
      <c r="E132" s="49">
        <v>6208</v>
      </c>
      <c r="F132" s="49">
        <v>0</v>
      </c>
      <c r="G132" s="49">
        <v>0</v>
      </c>
      <c r="H132" s="49">
        <v>3642</v>
      </c>
      <c r="I132" s="49">
        <v>0</v>
      </c>
      <c r="J132" s="49">
        <v>0</v>
      </c>
      <c r="K132" s="37">
        <v>687</v>
      </c>
      <c r="L132" s="37"/>
      <c r="M132" s="49">
        <v>0</v>
      </c>
      <c r="N132" s="37">
        <f t="shared" si="18"/>
        <v>687</v>
      </c>
      <c r="O132" s="49">
        <f t="shared" si="21"/>
        <v>687</v>
      </c>
      <c r="P132" s="172">
        <v>0</v>
      </c>
      <c r="Q132" s="172">
        <v>0</v>
      </c>
    </row>
    <row r="133" spans="1:17" s="112" customFormat="1" ht="15.75" customHeight="1">
      <c r="A133" s="116"/>
      <c r="B133" s="45" t="s">
        <v>237</v>
      </c>
      <c r="C133" s="42" t="s">
        <v>238</v>
      </c>
      <c r="D133" s="37"/>
      <c r="E133" s="49">
        <v>2165</v>
      </c>
      <c r="F133" s="49">
        <v>0</v>
      </c>
      <c r="G133" s="49">
        <v>0</v>
      </c>
      <c r="H133" s="49">
        <v>3948</v>
      </c>
      <c r="I133" s="49">
        <v>0</v>
      </c>
      <c r="J133" s="49">
        <v>0</v>
      </c>
      <c r="K133" s="37">
        <v>450</v>
      </c>
      <c r="L133" s="37"/>
      <c r="M133" s="49">
        <v>0</v>
      </c>
      <c r="N133" s="37">
        <f t="shared" si="18"/>
        <v>450</v>
      </c>
      <c r="O133" s="49">
        <f t="shared" si="21"/>
        <v>450</v>
      </c>
      <c r="P133" s="172">
        <v>0</v>
      </c>
      <c r="Q133" s="172">
        <v>0</v>
      </c>
    </row>
    <row r="134" spans="1:17" s="112" customFormat="1" ht="15.75" customHeight="1">
      <c r="A134" s="116"/>
      <c r="B134" s="45" t="s">
        <v>239</v>
      </c>
      <c r="C134" s="42" t="s">
        <v>240</v>
      </c>
      <c r="D134" s="37"/>
      <c r="E134" s="49">
        <v>393</v>
      </c>
      <c r="F134" s="49">
        <v>0</v>
      </c>
      <c r="G134" s="49">
        <v>0</v>
      </c>
      <c r="H134" s="49">
        <v>214</v>
      </c>
      <c r="I134" s="49">
        <v>0</v>
      </c>
      <c r="J134" s="49">
        <v>0</v>
      </c>
      <c r="K134" s="37">
        <v>248</v>
      </c>
      <c r="L134" s="37"/>
      <c r="M134" s="49">
        <v>0</v>
      </c>
      <c r="N134" s="37">
        <f t="shared" si="18"/>
        <v>248</v>
      </c>
      <c r="O134" s="49">
        <f t="shared" si="21"/>
        <v>248</v>
      </c>
      <c r="P134" s="172">
        <v>0</v>
      </c>
      <c r="Q134" s="172">
        <v>0</v>
      </c>
    </row>
    <row r="135" spans="1:17" s="201" customFormat="1" ht="24.75" customHeight="1">
      <c r="A135" s="186" t="s">
        <v>317</v>
      </c>
      <c r="B135" s="176"/>
      <c r="C135" s="181" t="s">
        <v>318</v>
      </c>
      <c r="D135" s="178"/>
      <c r="E135" s="178"/>
      <c r="F135" s="178"/>
      <c r="G135" s="178"/>
      <c r="H135" s="178"/>
      <c r="I135" s="178"/>
      <c r="J135" s="178"/>
      <c r="K135" s="178">
        <f>SUM(K136:K139)</f>
        <v>13000</v>
      </c>
      <c r="L135" s="178">
        <f>SUM(L136:L139)</f>
        <v>0</v>
      </c>
      <c r="M135" s="178">
        <f>SUM(M136:M139)</f>
        <v>0</v>
      </c>
      <c r="N135" s="178">
        <f t="shared" si="18"/>
        <v>13000</v>
      </c>
      <c r="O135" s="178">
        <f>SUM(O136:O139)</f>
        <v>0</v>
      </c>
      <c r="P135" s="178">
        <f>SUM(P136:P139)</f>
        <v>13000</v>
      </c>
      <c r="Q135" s="178">
        <f>SUM(Q136:Q139)</f>
        <v>0</v>
      </c>
    </row>
    <row r="136" spans="1:17" s="112" customFormat="1" ht="19.5" customHeight="1">
      <c r="A136" s="116"/>
      <c r="B136" s="45" t="s">
        <v>248</v>
      </c>
      <c r="C136" s="42" t="s">
        <v>319</v>
      </c>
      <c r="D136" s="37"/>
      <c r="E136" s="49"/>
      <c r="F136" s="49"/>
      <c r="G136" s="49"/>
      <c r="H136" s="49"/>
      <c r="I136" s="49"/>
      <c r="J136" s="49"/>
      <c r="K136" s="37">
        <v>0</v>
      </c>
      <c r="L136" s="37"/>
      <c r="M136" s="49"/>
      <c r="N136" s="37">
        <f t="shared" si="18"/>
        <v>0</v>
      </c>
      <c r="O136" s="49">
        <v>0</v>
      </c>
      <c r="P136" s="172">
        <f aca="true" t="shared" si="22" ref="P136:P144">N136</f>
        <v>0</v>
      </c>
      <c r="Q136" s="172">
        <f>N136</f>
        <v>0</v>
      </c>
    </row>
    <row r="137" spans="1:17" s="112" customFormat="1" ht="18" customHeight="1">
      <c r="A137" s="116"/>
      <c r="B137" s="45" t="s">
        <v>261</v>
      </c>
      <c r="C137" s="42" t="s">
        <v>320</v>
      </c>
      <c r="D137" s="37"/>
      <c r="E137" s="49"/>
      <c r="F137" s="49"/>
      <c r="G137" s="49"/>
      <c r="H137" s="49"/>
      <c r="I137" s="49"/>
      <c r="J137" s="49"/>
      <c r="K137" s="37">
        <v>1800</v>
      </c>
      <c r="L137" s="37"/>
      <c r="M137" s="49"/>
      <c r="N137" s="37">
        <f t="shared" si="18"/>
        <v>1800</v>
      </c>
      <c r="O137" s="49">
        <v>0</v>
      </c>
      <c r="P137" s="172">
        <f t="shared" si="22"/>
        <v>1800</v>
      </c>
      <c r="Q137" s="172">
        <v>0</v>
      </c>
    </row>
    <row r="138" spans="1:17" s="112" customFormat="1" ht="18.75" customHeight="1">
      <c r="A138" s="116"/>
      <c r="B138" s="45" t="s">
        <v>231</v>
      </c>
      <c r="C138" s="42" t="s">
        <v>232</v>
      </c>
      <c r="D138" s="37"/>
      <c r="E138" s="49"/>
      <c r="F138" s="49"/>
      <c r="G138" s="49"/>
      <c r="H138" s="49"/>
      <c r="I138" s="49"/>
      <c r="J138" s="49"/>
      <c r="K138" s="37">
        <v>4000</v>
      </c>
      <c r="L138" s="37"/>
      <c r="M138" s="49"/>
      <c r="N138" s="37">
        <f t="shared" si="18"/>
        <v>4000</v>
      </c>
      <c r="O138" s="49">
        <v>0</v>
      </c>
      <c r="P138" s="172">
        <f t="shared" si="22"/>
        <v>4000</v>
      </c>
      <c r="Q138" s="172">
        <v>0</v>
      </c>
    </row>
    <row r="139" spans="1:17" s="112" customFormat="1" ht="18" customHeight="1">
      <c r="A139" s="203"/>
      <c r="B139" s="204" t="s">
        <v>237</v>
      </c>
      <c r="C139" s="205" t="s">
        <v>297</v>
      </c>
      <c r="D139" s="198"/>
      <c r="E139" s="197"/>
      <c r="F139" s="197"/>
      <c r="G139" s="197"/>
      <c r="H139" s="197"/>
      <c r="I139" s="197"/>
      <c r="J139" s="197"/>
      <c r="K139" s="198">
        <v>7200</v>
      </c>
      <c r="L139" s="198"/>
      <c r="M139" s="197"/>
      <c r="N139" s="37">
        <f t="shared" si="18"/>
        <v>7200</v>
      </c>
      <c r="O139" s="49">
        <v>0</v>
      </c>
      <c r="P139" s="172">
        <f t="shared" si="22"/>
        <v>7200</v>
      </c>
      <c r="Q139" s="206">
        <v>0</v>
      </c>
    </row>
    <row r="140" spans="1:17" s="207" customFormat="1" ht="15" customHeight="1">
      <c r="A140" s="186" t="s">
        <v>90</v>
      </c>
      <c r="B140" s="176"/>
      <c r="C140" s="181" t="s">
        <v>30</v>
      </c>
      <c r="D140" s="178" t="e">
        <f>#REF!</f>
        <v>#REF!</v>
      </c>
      <c r="E140" s="178" t="e">
        <f>#REF!+E144</f>
        <v>#REF!</v>
      </c>
      <c r="F140" s="178" t="e">
        <f>#REF!+F144</f>
        <v>#REF!</v>
      </c>
      <c r="G140" s="178" t="e">
        <f>#REF!+G144</f>
        <v>#REF!</v>
      </c>
      <c r="H140" s="178">
        <f>H142+H144</f>
        <v>8900</v>
      </c>
      <c r="I140" s="178">
        <f>I142+I144</f>
        <v>0</v>
      </c>
      <c r="J140" s="178">
        <f>J142+J144</f>
        <v>0</v>
      </c>
      <c r="K140" s="178">
        <f>SUM(K141:K144)</f>
        <v>15000</v>
      </c>
      <c r="L140" s="178">
        <f>SUM(L141:L144)</f>
        <v>0</v>
      </c>
      <c r="M140" s="178">
        <f>SUM(M141:M144)</f>
        <v>0</v>
      </c>
      <c r="N140" s="178">
        <f t="shared" si="18"/>
        <v>15000</v>
      </c>
      <c r="O140" s="178"/>
      <c r="P140" s="179">
        <f t="shared" si="22"/>
        <v>15000</v>
      </c>
      <c r="Q140" s="179">
        <f>Q142+Q141+Q143+Q144</f>
        <v>0</v>
      </c>
    </row>
    <row r="141" spans="1:17" s="112" customFormat="1" ht="19.5" customHeight="1">
      <c r="A141" s="116"/>
      <c r="B141" s="45" t="s">
        <v>261</v>
      </c>
      <c r="C141" s="42" t="s">
        <v>277</v>
      </c>
      <c r="D141" s="37"/>
      <c r="E141" s="49"/>
      <c r="F141" s="49"/>
      <c r="G141" s="49"/>
      <c r="H141" s="49"/>
      <c r="I141" s="49"/>
      <c r="J141" s="49"/>
      <c r="K141" s="37">
        <v>3000</v>
      </c>
      <c r="L141" s="37">
        <v>0</v>
      </c>
      <c r="M141" s="49"/>
      <c r="N141" s="37">
        <f t="shared" si="18"/>
        <v>3000</v>
      </c>
      <c r="O141" s="49">
        <v>0</v>
      </c>
      <c r="P141" s="172">
        <f t="shared" si="22"/>
        <v>3000</v>
      </c>
      <c r="Q141" s="172">
        <v>0</v>
      </c>
    </row>
    <row r="142" spans="1:17" s="112" customFormat="1" ht="19.5" customHeight="1">
      <c r="A142" s="116"/>
      <c r="B142" s="45" t="s">
        <v>231</v>
      </c>
      <c r="C142" s="42" t="s">
        <v>263</v>
      </c>
      <c r="D142" s="37"/>
      <c r="E142" s="49"/>
      <c r="F142" s="49"/>
      <c r="G142" s="49"/>
      <c r="H142" s="49">
        <v>800</v>
      </c>
      <c r="I142" s="49">
        <v>0</v>
      </c>
      <c r="J142" s="49">
        <v>0</v>
      </c>
      <c r="K142" s="37">
        <v>350</v>
      </c>
      <c r="L142" s="37"/>
      <c r="M142" s="49">
        <v>0</v>
      </c>
      <c r="N142" s="37">
        <f t="shared" si="18"/>
        <v>350</v>
      </c>
      <c r="O142" s="49">
        <v>0</v>
      </c>
      <c r="P142" s="172">
        <f t="shared" si="22"/>
        <v>350</v>
      </c>
      <c r="Q142" s="172">
        <v>0</v>
      </c>
    </row>
    <row r="143" spans="1:17" s="112" customFormat="1" ht="18.75" customHeight="1">
      <c r="A143" s="116"/>
      <c r="B143" s="45" t="s">
        <v>237</v>
      </c>
      <c r="C143" s="42" t="s">
        <v>238</v>
      </c>
      <c r="D143" s="37"/>
      <c r="E143" s="49"/>
      <c r="F143" s="49"/>
      <c r="G143" s="49"/>
      <c r="H143" s="49"/>
      <c r="I143" s="49"/>
      <c r="J143" s="49"/>
      <c r="K143" s="37">
        <v>768</v>
      </c>
      <c r="L143" s="37">
        <v>0</v>
      </c>
      <c r="M143" s="49"/>
      <c r="N143" s="37">
        <f t="shared" si="18"/>
        <v>768</v>
      </c>
      <c r="O143" s="49">
        <v>0</v>
      </c>
      <c r="P143" s="172">
        <f t="shared" si="22"/>
        <v>768</v>
      </c>
      <c r="Q143" s="172">
        <v>0</v>
      </c>
    </row>
    <row r="144" spans="1:17" s="112" customFormat="1" ht="21" customHeight="1">
      <c r="A144" s="116"/>
      <c r="B144" s="45" t="s">
        <v>241</v>
      </c>
      <c r="C144" s="42" t="s">
        <v>321</v>
      </c>
      <c r="D144" s="37"/>
      <c r="E144" s="49">
        <v>7000</v>
      </c>
      <c r="F144" s="49">
        <v>0</v>
      </c>
      <c r="G144" s="49">
        <v>0</v>
      </c>
      <c r="H144" s="49">
        <v>8100</v>
      </c>
      <c r="I144" s="49">
        <v>0</v>
      </c>
      <c r="J144" s="49">
        <v>0</v>
      </c>
      <c r="K144" s="37">
        <v>10882</v>
      </c>
      <c r="L144" s="37"/>
      <c r="M144" s="49"/>
      <c r="N144" s="37">
        <f t="shared" si="18"/>
        <v>10882</v>
      </c>
      <c r="O144" s="49">
        <v>0</v>
      </c>
      <c r="P144" s="172">
        <f t="shared" si="22"/>
        <v>10882</v>
      </c>
      <c r="Q144" s="172">
        <v>0</v>
      </c>
    </row>
    <row r="145" spans="1:17" s="112" customFormat="1" ht="27" customHeight="1">
      <c r="A145" s="182" t="s">
        <v>322</v>
      </c>
      <c r="B145" s="194"/>
      <c r="C145" s="196" t="s">
        <v>323</v>
      </c>
      <c r="D145" s="183" t="e">
        <f>#REF!+D146</f>
        <v>#REF!</v>
      </c>
      <c r="E145" s="183" t="e">
        <f>#REF!+E146</f>
        <v>#REF!</v>
      </c>
      <c r="F145" s="183" t="e">
        <f>#REF!+F146</f>
        <v>#REF!</v>
      </c>
      <c r="G145" s="183" t="e">
        <f>#REF!+G146</f>
        <v>#REF!</v>
      </c>
      <c r="H145" s="183" t="e">
        <f>#REF!+H146</f>
        <v>#REF!</v>
      </c>
      <c r="I145" s="183" t="e">
        <f>#REF!+I146</f>
        <v>#REF!</v>
      </c>
      <c r="J145" s="183" t="e">
        <f>#REF!+J146</f>
        <v>#REF!</v>
      </c>
      <c r="K145" s="183">
        <f>+K146+K168</f>
        <v>2310000</v>
      </c>
      <c r="L145" s="183">
        <f>+L146+L168</f>
        <v>27150</v>
      </c>
      <c r="M145" s="183">
        <f>+M146+M168</f>
        <v>112150</v>
      </c>
      <c r="N145" s="183">
        <f t="shared" si="18"/>
        <v>2225000</v>
      </c>
      <c r="O145" s="183">
        <f>+O146+O168</f>
        <v>2204000</v>
      </c>
      <c r="P145" s="183">
        <f>+P146+P168</f>
        <v>21000</v>
      </c>
      <c r="Q145" s="183">
        <f>+Q146+Q168</f>
        <v>0</v>
      </c>
    </row>
    <row r="146" spans="1:17" s="112" customFormat="1" ht="33" customHeight="1">
      <c r="A146" s="186" t="s">
        <v>95</v>
      </c>
      <c r="B146" s="176"/>
      <c r="C146" s="181" t="s">
        <v>324</v>
      </c>
      <c r="D146" s="178" t="e">
        <f>D148+D149+D150+D151+D152+#REF!+D153+D154</f>
        <v>#REF!</v>
      </c>
      <c r="E146" s="178" t="e">
        <f>E148+E149+E150+E151+E152+#REF!+E153+E154+#REF!+E156+E157+E158+E159+E161+E162+E163+#REF!+E164+E165+#REF!+#REF!</f>
        <v>#REF!</v>
      </c>
      <c r="F146" s="178" t="e">
        <f>F148+F149+F150+F151+F152+#REF!+F153+F154+#REF!+F156+F158+F159+F161+F162+#REF!+F164+F165+#REF!+#REF!</f>
        <v>#REF!</v>
      </c>
      <c r="G146" s="178" t="e">
        <f>G148+G149+G150+G151+G152+#REF!+G153+G154+#REF!+G156+G158+G159+G161+G162+#REF!+G164+G165+#REF!+#REF!</f>
        <v>#REF!</v>
      </c>
      <c r="H146" s="178" t="e">
        <f>H148+H149+H150+H151+H152+#REF!+H153+H154+#REF!+H156+H157+H158+H159+H161+H162+H163+H164+#REF!+H165+#REF!</f>
        <v>#REF!</v>
      </c>
      <c r="I146" s="178" t="e">
        <f>I148+I149+I150+I151+I152+#REF!+I153+I154+#REF!+I156+I157+I158+I159+I161+I162+I163+I164+#REF!+I165+#REF!</f>
        <v>#REF!</v>
      </c>
      <c r="J146" s="178" t="e">
        <f>J148+J149+J150+J151+J152+#REF!+J153+J154+#REF!+J156+J157+J158+J159+J161+J162+J163+J164+#REF!+J165+#REF!</f>
        <v>#REF!</v>
      </c>
      <c r="K146" s="178">
        <f>K148+K149+K150+K151+K152+K153+K154+K147+K155+K156+K157+K158+K159+K161+K162+K163+K164+K165+K166+K160+K167</f>
        <v>2307000</v>
      </c>
      <c r="L146" s="178">
        <f>L148+L149+L150+L151+L152+L153+L154+L147+L155+L156+L157+L158+L159+L161+L162+L163+L164+L165+L166+L160+L167</f>
        <v>27150</v>
      </c>
      <c r="M146" s="178">
        <f>M148+M149+M150+M151+M152+M153+M154+M147+M155+M156+M157+M158+M159+M161+M162+M163+M164+M165+M166+M160+M167</f>
        <v>112150</v>
      </c>
      <c r="N146" s="178">
        <f t="shared" si="18"/>
        <v>2222000</v>
      </c>
      <c r="O146" s="178">
        <f>O148+O149+O150+O151+O152+O153+O154+O147+O155+O156+O157+O158+O159+O161+O162+O163+O164+O165+O166+O160</f>
        <v>2201000</v>
      </c>
      <c r="P146" s="178">
        <f>P148+P149+P150+P151+P152+P153+P154+P147+P155+P156+P157+P158+P159+P161+P162+P163+P164+P165+P166+P160+P167</f>
        <v>21000</v>
      </c>
      <c r="Q146" s="178">
        <f>Q148+Q149+Q150+Q151+Q152+Q153+Q154+Q147+Q155+Q156+Q157+Q158+Q159+Q161+Q162+Q163+Q164+Q165+Q166+Q160</f>
        <v>0</v>
      </c>
    </row>
    <row r="147" spans="1:17" s="112" customFormat="1" ht="15.75" customHeight="1">
      <c r="A147" s="116"/>
      <c r="B147" s="45" t="s">
        <v>325</v>
      </c>
      <c r="C147" s="42" t="s">
        <v>326</v>
      </c>
      <c r="D147" s="37"/>
      <c r="E147" s="49"/>
      <c r="F147" s="49"/>
      <c r="G147" s="49"/>
      <c r="H147" s="49"/>
      <c r="I147" s="49"/>
      <c r="J147" s="49"/>
      <c r="K147" s="37">
        <v>149000</v>
      </c>
      <c r="L147" s="37"/>
      <c r="M147" s="49"/>
      <c r="N147" s="37">
        <f t="shared" si="18"/>
        <v>149000</v>
      </c>
      <c r="O147" s="49">
        <f aca="true" t="shared" si="23" ref="O147:O155">N147</f>
        <v>149000</v>
      </c>
      <c r="P147" s="172">
        <v>0</v>
      </c>
      <c r="Q147" s="172">
        <v>0</v>
      </c>
    </row>
    <row r="148" spans="1:17" s="112" customFormat="1" ht="15.75" customHeight="1">
      <c r="A148" s="116"/>
      <c r="B148" s="45" t="s">
        <v>223</v>
      </c>
      <c r="C148" s="42" t="s">
        <v>327</v>
      </c>
      <c r="D148" s="37">
        <v>15218</v>
      </c>
      <c r="E148" s="49">
        <v>14500</v>
      </c>
      <c r="F148" s="49">
        <v>1000</v>
      </c>
      <c r="G148" s="49">
        <v>0</v>
      </c>
      <c r="H148" s="49">
        <v>17000</v>
      </c>
      <c r="I148" s="49">
        <v>0</v>
      </c>
      <c r="J148" s="49">
        <v>0</v>
      </c>
      <c r="K148" s="37">
        <v>19000</v>
      </c>
      <c r="L148" s="37"/>
      <c r="M148" s="49"/>
      <c r="N148" s="37">
        <f t="shared" si="18"/>
        <v>19000</v>
      </c>
      <c r="O148" s="49">
        <f t="shared" si="23"/>
        <v>19000</v>
      </c>
      <c r="P148" s="172">
        <v>0</v>
      </c>
      <c r="Q148" s="172">
        <v>0</v>
      </c>
    </row>
    <row r="149" spans="1:17" s="112" customFormat="1" ht="15.75" customHeight="1">
      <c r="A149" s="116"/>
      <c r="B149" s="45" t="s">
        <v>225</v>
      </c>
      <c r="C149" s="42" t="s">
        <v>226</v>
      </c>
      <c r="D149" s="37">
        <v>782</v>
      </c>
      <c r="E149" s="49">
        <v>1200</v>
      </c>
      <c r="F149" s="49">
        <v>0</v>
      </c>
      <c r="G149" s="49">
        <v>14</v>
      </c>
      <c r="H149" s="49">
        <v>1415</v>
      </c>
      <c r="I149" s="49">
        <v>0</v>
      </c>
      <c r="J149" s="49">
        <v>0</v>
      </c>
      <c r="K149" s="37">
        <v>2000</v>
      </c>
      <c r="L149" s="37"/>
      <c r="M149" s="49"/>
      <c r="N149" s="37">
        <f t="shared" si="18"/>
        <v>2000</v>
      </c>
      <c r="O149" s="49">
        <f t="shared" si="23"/>
        <v>2000</v>
      </c>
      <c r="P149" s="172">
        <v>0</v>
      </c>
      <c r="Q149" s="172">
        <v>0</v>
      </c>
    </row>
    <row r="150" spans="1:17" s="112" customFormat="1" ht="24" customHeight="1">
      <c r="A150" s="116"/>
      <c r="B150" s="45" t="s">
        <v>328</v>
      </c>
      <c r="C150" s="42" t="s">
        <v>329</v>
      </c>
      <c r="D150" s="37">
        <v>1635532</v>
      </c>
      <c r="E150" s="49">
        <v>1917450</v>
      </c>
      <c r="F150" s="49">
        <v>0</v>
      </c>
      <c r="G150" s="49">
        <v>0</v>
      </c>
      <c r="H150" s="49">
        <v>1149573</v>
      </c>
      <c r="I150" s="49">
        <v>0</v>
      </c>
      <c r="J150" s="49">
        <v>0</v>
      </c>
      <c r="K150" s="37">
        <v>1438000</v>
      </c>
      <c r="L150" s="37"/>
      <c r="M150" s="49">
        <v>49150</v>
      </c>
      <c r="N150" s="37">
        <f t="shared" si="18"/>
        <v>1388850</v>
      </c>
      <c r="O150" s="49">
        <f t="shared" si="23"/>
        <v>1388850</v>
      </c>
      <c r="P150" s="172">
        <v>0</v>
      </c>
      <c r="Q150" s="172">
        <v>0</v>
      </c>
    </row>
    <row r="151" spans="1:17" s="112" customFormat="1" ht="15" customHeight="1">
      <c r="A151" s="116"/>
      <c r="B151" s="45" t="s">
        <v>330</v>
      </c>
      <c r="C151" s="42" t="s">
        <v>331</v>
      </c>
      <c r="D151" s="37">
        <v>15859</v>
      </c>
      <c r="E151" s="49">
        <v>46700</v>
      </c>
      <c r="F151" s="49">
        <v>0</v>
      </c>
      <c r="G151" s="49">
        <v>0</v>
      </c>
      <c r="H151" s="49">
        <v>5200</v>
      </c>
      <c r="I151" s="49">
        <v>0</v>
      </c>
      <c r="J151" s="49">
        <v>0</v>
      </c>
      <c r="K151" s="37">
        <v>148000</v>
      </c>
      <c r="L151" s="37"/>
      <c r="M151" s="49">
        <v>1000</v>
      </c>
      <c r="N151" s="37">
        <f t="shared" si="18"/>
        <v>147000</v>
      </c>
      <c r="O151" s="49">
        <f t="shared" si="23"/>
        <v>147000</v>
      </c>
      <c r="P151" s="172">
        <v>0</v>
      </c>
      <c r="Q151" s="172">
        <v>0</v>
      </c>
    </row>
    <row r="152" spans="1:17" s="112" customFormat="1" ht="15.75" customHeight="1">
      <c r="A152" s="116"/>
      <c r="B152" s="45" t="s">
        <v>332</v>
      </c>
      <c r="C152" s="42" t="s">
        <v>333</v>
      </c>
      <c r="D152" s="37">
        <v>96233</v>
      </c>
      <c r="E152" s="49">
        <v>146640</v>
      </c>
      <c r="F152" s="49">
        <v>0</v>
      </c>
      <c r="G152" s="49">
        <v>15640</v>
      </c>
      <c r="H152" s="49">
        <v>86500</v>
      </c>
      <c r="I152" s="49">
        <v>0</v>
      </c>
      <c r="J152" s="49">
        <v>0</v>
      </c>
      <c r="K152" s="37">
        <v>121000</v>
      </c>
      <c r="L152" s="37"/>
      <c r="M152" s="49">
        <v>4000</v>
      </c>
      <c r="N152" s="37">
        <f t="shared" si="18"/>
        <v>117000</v>
      </c>
      <c r="O152" s="49">
        <f t="shared" si="23"/>
        <v>117000</v>
      </c>
      <c r="P152" s="172">
        <v>0</v>
      </c>
      <c r="Q152" s="172">
        <v>0</v>
      </c>
    </row>
    <row r="153" spans="1:17" s="112" customFormat="1" ht="18" customHeight="1">
      <c r="A153" s="116"/>
      <c r="B153" s="202" t="s">
        <v>290</v>
      </c>
      <c r="C153" s="42" t="s">
        <v>316</v>
      </c>
      <c r="D153" s="37">
        <v>39438</v>
      </c>
      <c r="E153" s="49">
        <v>71560</v>
      </c>
      <c r="F153" s="49">
        <v>0</v>
      </c>
      <c r="G153" s="49">
        <v>26000</v>
      </c>
      <c r="H153" s="49">
        <v>38000</v>
      </c>
      <c r="I153" s="49">
        <v>0</v>
      </c>
      <c r="J153" s="49">
        <v>0</v>
      </c>
      <c r="K153" s="37">
        <v>3500</v>
      </c>
      <c r="L153" s="37">
        <v>7000</v>
      </c>
      <c r="M153" s="49"/>
      <c r="N153" s="37">
        <f t="shared" si="18"/>
        <v>10500</v>
      </c>
      <c r="O153" s="49">
        <f t="shared" si="23"/>
        <v>10500</v>
      </c>
      <c r="P153" s="172">
        <v>0</v>
      </c>
      <c r="Q153" s="172">
        <v>0</v>
      </c>
    </row>
    <row r="154" spans="1:17" s="112" customFormat="1" ht="15.75" customHeight="1">
      <c r="A154" s="116"/>
      <c r="B154" s="45" t="s">
        <v>229</v>
      </c>
      <c r="C154" s="42" t="s">
        <v>230</v>
      </c>
      <c r="D154" s="37">
        <v>843962</v>
      </c>
      <c r="E154" s="49">
        <v>12030</v>
      </c>
      <c r="F154" s="49">
        <v>0</v>
      </c>
      <c r="G154" s="49">
        <v>5000</v>
      </c>
      <c r="H154" s="49">
        <v>5410</v>
      </c>
      <c r="I154" s="49">
        <v>0</v>
      </c>
      <c r="J154" s="49">
        <v>0</v>
      </c>
      <c r="K154" s="37">
        <v>500</v>
      </c>
      <c r="L154" s="37">
        <v>150</v>
      </c>
      <c r="M154" s="49"/>
      <c r="N154" s="37">
        <f t="shared" si="18"/>
        <v>650</v>
      </c>
      <c r="O154" s="49">
        <f t="shared" si="23"/>
        <v>650</v>
      </c>
      <c r="P154" s="172">
        <v>0</v>
      </c>
      <c r="Q154" s="172">
        <v>0</v>
      </c>
    </row>
    <row r="155" spans="1:17" s="112" customFormat="1" ht="15.75" customHeight="1">
      <c r="A155" s="116"/>
      <c r="B155" s="45" t="s">
        <v>334</v>
      </c>
      <c r="C155" s="42" t="s">
        <v>335</v>
      </c>
      <c r="D155" s="37"/>
      <c r="E155" s="49"/>
      <c r="F155" s="49"/>
      <c r="G155" s="49"/>
      <c r="H155" s="49"/>
      <c r="I155" s="49"/>
      <c r="J155" s="49"/>
      <c r="K155" s="37">
        <v>93000</v>
      </c>
      <c r="L155" s="37"/>
      <c r="M155" s="49"/>
      <c r="N155" s="37">
        <f t="shared" si="18"/>
        <v>93000</v>
      </c>
      <c r="O155" s="49">
        <f t="shared" si="23"/>
        <v>93000</v>
      </c>
      <c r="P155" s="172">
        <v>0</v>
      </c>
      <c r="Q155" s="172">
        <v>0</v>
      </c>
    </row>
    <row r="156" spans="1:17" s="112" customFormat="1" ht="15.75" customHeight="1">
      <c r="A156" s="116"/>
      <c r="B156" s="45" t="s">
        <v>231</v>
      </c>
      <c r="C156" s="42" t="s">
        <v>232</v>
      </c>
      <c r="D156" s="37"/>
      <c r="E156" s="49">
        <v>296300</v>
      </c>
      <c r="F156" s="49">
        <v>62410</v>
      </c>
      <c r="G156" s="49">
        <v>0</v>
      </c>
      <c r="H156" s="49">
        <v>173952</v>
      </c>
      <c r="I156" s="49">
        <v>0</v>
      </c>
      <c r="J156" s="49">
        <v>0</v>
      </c>
      <c r="K156" s="37">
        <v>196820</v>
      </c>
      <c r="L156" s="37"/>
      <c r="M156" s="49">
        <v>58000</v>
      </c>
      <c r="N156" s="37">
        <f aca="true" t="shared" si="24" ref="N156:N219">K156+L156-M156</f>
        <v>138820</v>
      </c>
      <c r="O156" s="49">
        <f>N156-P156</f>
        <v>137820</v>
      </c>
      <c r="P156" s="172">
        <v>1000</v>
      </c>
      <c r="Q156" s="172">
        <v>0</v>
      </c>
    </row>
    <row r="157" spans="1:17" s="112" customFormat="1" ht="16.5" customHeight="1">
      <c r="A157" s="116"/>
      <c r="B157" s="45" t="s">
        <v>336</v>
      </c>
      <c r="C157" s="42" t="s">
        <v>337</v>
      </c>
      <c r="D157" s="37"/>
      <c r="E157" s="49">
        <v>0</v>
      </c>
      <c r="F157" s="49"/>
      <c r="G157" s="49"/>
      <c r="H157" s="49">
        <v>88000</v>
      </c>
      <c r="I157" s="49">
        <v>0</v>
      </c>
      <c r="J157" s="49">
        <v>0</v>
      </c>
      <c r="K157" s="37">
        <v>20000</v>
      </c>
      <c r="L157" s="37"/>
      <c r="M157" s="49"/>
      <c r="N157" s="37">
        <f t="shared" si="24"/>
        <v>20000</v>
      </c>
      <c r="O157" s="49">
        <f aca="true" t="shared" si="25" ref="O157:O166">N157</f>
        <v>20000</v>
      </c>
      <c r="P157" s="172">
        <v>0</v>
      </c>
      <c r="Q157" s="172">
        <v>0</v>
      </c>
    </row>
    <row r="158" spans="1:17" s="112" customFormat="1" ht="15.75" customHeight="1">
      <c r="A158" s="116"/>
      <c r="B158" s="45" t="s">
        <v>233</v>
      </c>
      <c r="C158" s="42" t="s">
        <v>291</v>
      </c>
      <c r="D158" s="37"/>
      <c r="E158" s="49">
        <v>25000</v>
      </c>
      <c r="F158" s="49">
        <v>0</v>
      </c>
      <c r="G158" s="49">
        <v>5100</v>
      </c>
      <c r="H158" s="49">
        <v>17000</v>
      </c>
      <c r="I158" s="49">
        <v>0</v>
      </c>
      <c r="J158" s="49">
        <v>0</v>
      </c>
      <c r="K158" s="37">
        <v>18000</v>
      </c>
      <c r="L158" s="37"/>
      <c r="M158" s="49"/>
      <c r="N158" s="37">
        <f t="shared" si="24"/>
        <v>18000</v>
      </c>
      <c r="O158" s="49">
        <f t="shared" si="25"/>
        <v>18000</v>
      </c>
      <c r="P158" s="172">
        <v>0</v>
      </c>
      <c r="Q158" s="172">
        <v>0</v>
      </c>
    </row>
    <row r="159" spans="1:17" s="112" customFormat="1" ht="17.25" customHeight="1">
      <c r="A159" s="116"/>
      <c r="B159" s="45" t="s">
        <v>235</v>
      </c>
      <c r="C159" s="42" t="s">
        <v>278</v>
      </c>
      <c r="D159" s="37"/>
      <c r="E159" s="49">
        <v>10000</v>
      </c>
      <c r="F159" s="49">
        <v>5000</v>
      </c>
      <c r="G159" s="49">
        <v>0</v>
      </c>
      <c r="H159" s="49">
        <v>43545</v>
      </c>
      <c r="I159" s="49">
        <v>0</v>
      </c>
      <c r="J159" s="49">
        <v>0</v>
      </c>
      <c r="K159" s="37">
        <v>12000</v>
      </c>
      <c r="L159" s="37"/>
      <c r="M159" s="49"/>
      <c r="N159" s="37">
        <f t="shared" si="24"/>
        <v>12000</v>
      </c>
      <c r="O159" s="49">
        <f t="shared" si="25"/>
        <v>12000</v>
      </c>
      <c r="P159" s="172">
        <v>0</v>
      </c>
      <c r="Q159" s="172">
        <v>0</v>
      </c>
    </row>
    <row r="160" spans="1:17" s="112" customFormat="1" ht="17.25" customHeight="1">
      <c r="A160" s="116"/>
      <c r="B160" s="45" t="s">
        <v>338</v>
      </c>
      <c r="C160" s="42" t="s">
        <v>339</v>
      </c>
      <c r="D160" s="37"/>
      <c r="E160" s="49"/>
      <c r="F160" s="49"/>
      <c r="G160" s="49"/>
      <c r="H160" s="49"/>
      <c r="I160" s="49"/>
      <c r="J160" s="49"/>
      <c r="K160" s="37">
        <v>14520</v>
      </c>
      <c r="L160" s="37"/>
      <c r="M160" s="49"/>
      <c r="N160" s="37">
        <f t="shared" si="24"/>
        <v>14520</v>
      </c>
      <c r="O160" s="49">
        <f t="shared" si="25"/>
        <v>14520</v>
      </c>
      <c r="P160" s="172">
        <v>0</v>
      </c>
      <c r="Q160" s="172">
        <v>0</v>
      </c>
    </row>
    <row r="161" spans="1:17" s="112" customFormat="1" ht="17.25" customHeight="1">
      <c r="A161" s="116"/>
      <c r="B161" s="45" t="s">
        <v>237</v>
      </c>
      <c r="C161" s="42" t="s">
        <v>297</v>
      </c>
      <c r="D161" s="37"/>
      <c r="E161" s="49">
        <v>58800</v>
      </c>
      <c r="F161" s="49">
        <v>10000</v>
      </c>
      <c r="G161" s="49">
        <v>0</v>
      </c>
      <c r="H161" s="49">
        <v>56000</v>
      </c>
      <c r="I161" s="49">
        <v>0</v>
      </c>
      <c r="J161" s="49">
        <v>0</v>
      </c>
      <c r="K161" s="37">
        <v>45000</v>
      </c>
      <c r="L161" s="37"/>
      <c r="M161" s="49"/>
      <c r="N161" s="37">
        <f t="shared" si="24"/>
        <v>45000</v>
      </c>
      <c r="O161" s="49">
        <f t="shared" si="25"/>
        <v>45000</v>
      </c>
      <c r="P161" s="172">
        <v>0</v>
      </c>
      <c r="Q161" s="172">
        <v>0</v>
      </c>
    </row>
    <row r="162" spans="1:17" s="112" customFormat="1" ht="18" customHeight="1">
      <c r="A162" s="116"/>
      <c r="B162" s="45" t="s">
        <v>239</v>
      </c>
      <c r="C162" s="42" t="s">
        <v>240</v>
      </c>
      <c r="D162" s="37"/>
      <c r="E162" s="49">
        <v>25000</v>
      </c>
      <c r="F162" s="49">
        <v>0</v>
      </c>
      <c r="G162" s="49">
        <v>17000</v>
      </c>
      <c r="H162" s="49">
        <v>8000</v>
      </c>
      <c r="I162" s="49">
        <v>0</v>
      </c>
      <c r="J162" s="49">
        <v>0</v>
      </c>
      <c r="K162" s="37">
        <v>7000</v>
      </c>
      <c r="L162" s="37"/>
      <c r="M162" s="49"/>
      <c r="N162" s="37">
        <f t="shared" si="24"/>
        <v>7000</v>
      </c>
      <c r="O162" s="49">
        <f t="shared" si="25"/>
        <v>7000</v>
      </c>
      <c r="P162" s="172">
        <v>0</v>
      </c>
      <c r="Q162" s="172">
        <v>0</v>
      </c>
    </row>
    <row r="163" spans="1:17" s="112" customFormat="1" ht="18" customHeight="1">
      <c r="A163" s="116"/>
      <c r="B163" s="45" t="s">
        <v>241</v>
      </c>
      <c r="C163" s="42" t="s">
        <v>242</v>
      </c>
      <c r="D163" s="37"/>
      <c r="E163" s="49">
        <v>0</v>
      </c>
      <c r="F163" s="49"/>
      <c r="G163" s="49"/>
      <c r="H163" s="49">
        <v>7000</v>
      </c>
      <c r="I163" s="49">
        <v>0</v>
      </c>
      <c r="J163" s="49">
        <v>0</v>
      </c>
      <c r="K163" s="37">
        <v>8000</v>
      </c>
      <c r="L163" s="37"/>
      <c r="M163" s="49"/>
      <c r="N163" s="37">
        <f t="shared" si="24"/>
        <v>8000</v>
      </c>
      <c r="O163" s="49">
        <f t="shared" si="25"/>
        <v>8000</v>
      </c>
      <c r="P163" s="172">
        <v>0</v>
      </c>
      <c r="Q163" s="172">
        <v>0</v>
      </c>
    </row>
    <row r="164" spans="1:17" s="112" customFormat="1" ht="18" customHeight="1">
      <c r="A164" s="116"/>
      <c r="B164" s="45" t="s">
        <v>243</v>
      </c>
      <c r="C164" s="42" t="s">
        <v>244</v>
      </c>
      <c r="D164" s="37"/>
      <c r="E164" s="49">
        <v>2000</v>
      </c>
      <c r="F164" s="49">
        <v>0</v>
      </c>
      <c r="G164" s="49">
        <v>1173</v>
      </c>
      <c r="H164" s="49">
        <v>676</v>
      </c>
      <c r="I164" s="49">
        <v>0</v>
      </c>
      <c r="J164" s="49">
        <v>0</v>
      </c>
      <c r="K164" s="37">
        <v>1000</v>
      </c>
      <c r="L164" s="37"/>
      <c r="M164" s="49"/>
      <c r="N164" s="37">
        <f t="shared" si="24"/>
        <v>1000</v>
      </c>
      <c r="O164" s="49">
        <f t="shared" si="25"/>
        <v>1000</v>
      </c>
      <c r="P164" s="172">
        <v>0</v>
      </c>
      <c r="Q164" s="172">
        <v>0</v>
      </c>
    </row>
    <row r="165" spans="1:17" s="112" customFormat="1" ht="18.75" customHeight="1">
      <c r="A165" s="116"/>
      <c r="B165" s="45" t="s">
        <v>279</v>
      </c>
      <c r="C165" s="42" t="s">
        <v>280</v>
      </c>
      <c r="D165" s="37">
        <v>62500</v>
      </c>
      <c r="E165" s="49">
        <v>160</v>
      </c>
      <c r="F165" s="49">
        <v>0</v>
      </c>
      <c r="G165" s="49">
        <v>0</v>
      </c>
      <c r="H165" s="49">
        <v>160</v>
      </c>
      <c r="I165" s="49">
        <v>0</v>
      </c>
      <c r="J165" s="49">
        <v>0</v>
      </c>
      <c r="K165" s="37">
        <v>10500</v>
      </c>
      <c r="L165" s="37"/>
      <c r="M165" s="49"/>
      <c r="N165" s="37">
        <f t="shared" si="24"/>
        <v>10500</v>
      </c>
      <c r="O165" s="49">
        <f t="shared" si="25"/>
        <v>10500</v>
      </c>
      <c r="P165" s="172">
        <v>0</v>
      </c>
      <c r="Q165" s="172">
        <v>0</v>
      </c>
    </row>
    <row r="166" spans="1:17" s="112" customFormat="1" ht="20.25" customHeight="1">
      <c r="A166" s="116"/>
      <c r="B166" s="45" t="s">
        <v>281</v>
      </c>
      <c r="C166" s="42" t="s">
        <v>282</v>
      </c>
      <c r="D166" s="37"/>
      <c r="E166" s="49"/>
      <c r="F166" s="49"/>
      <c r="G166" s="49"/>
      <c r="H166" s="49"/>
      <c r="I166" s="49"/>
      <c r="J166" s="49"/>
      <c r="K166" s="37">
        <v>160</v>
      </c>
      <c r="L166" s="37"/>
      <c r="M166" s="49"/>
      <c r="N166" s="37">
        <f t="shared" si="24"/>
        <v>160</v>
      </c>
      <c r="O166" s="49">
        <f t="shared" si="25"/>
        <v>160</v>
      </c>
      <c r="P166" s="172">
        <v>0</v>
      </c>
      <c r="Q166" s="172">
        <v>0</v>
      </c>
    </row>
    <row r="167" spans="1:17" s="112" customFormat="1" ht="20.25" customHeight="1">
      <c r="A167" s="116"/>
      <c r="B167" s="45" t="s">
        <v>270</v>
      </c>
      <c r="C167" s="42" t="s">
        <v>271</v>
      </c>
      <c r="D167" s="37"/>
      <c r="E167" s="49"/>
      <c r="F167" s="49"/>
      <c r="G167" s="49"/>
      <c r="H167" s="49"/>
      <c r="I167" s="49"/>
      <c r="J167" s="49"/>
      <c r="K167" s="37">
        <v>0</v>
      </c>
      <c r="L167" s="37">
        <v>20000</v>
      </c>
      <c r="M167" s="49"/>
      <c r="N167" s="37">
        <f t="shared" si="24"/>
        <v>20000</v>
      </c>
      <c r="O167" s="49"/>
      <c r="P167" s="172">
        <f>N167</f>
        <v>20000</v>
      </c>
      <c r="Q167" s="172"/>
    </row>
    <row r="168" spans="1:17" s="112" customFormat="1" ht="21.75" customHeight="1">
      <c r="A168" s="186" t="s">
        <v>340</v>
      </c>
      <c r="B168" s="176"/>
      <c r="C168" s="181" t="s">
        <v>89</v>
      </c>
      <c r="D168" s="178"/>
      <c r="E168" s="178"/>
      <c r="F168" s="178"/>
      <c r="G168" s="178"/>
      <c r="H168" s="178"/>
      <c r="I168" s="178"/>
      <c r="J168" s="178"/>
      <c r="K168" s="178">
        <f>SUM(K169:K170)</f>
        <v>3000</v>
      </c>
      <c r="L168" s="178">
        <f>SUM(L169:L170)</f>
        <v>0</v>
      </c>
      <c r="M168" s="178">
        <f>SUM(M169:M170)</f>
        <v>0</v>
      </c>
      <c r="N168" s="178">
        <f t="shared" si="24"/>
        <v>3000</v>
      </c>
      <c r="O168" s="178">
        <f>N168</f>
        <v>3000</v>
      </c>
      <c r="P168" s="208">
        <f>SUM(P169:P170)</f>
        <v>0</v>
      </c>
      <c r="Q168" s="208">
        <f>SUM(Q169:Q170)</f>
        <v>0</v>
      </c>
    </row>
    <row r="169" spans="1:17" s="112" customFormat="1" ht="21.75" customHeight="1">
      <c r="A169" s="168"/>
      <c r="B169" s="45" t="s">
        <v>231</v>
      </c>
      <c r="C169" s="42" t="s">
        <v>232</v>
      </c>
      <c r="D169" s="81"/>
      <c r="E169" s="81"/>
      <c r="F169" s="81"/>
      <c r="G169" s="81"/>
      <c r="H169" s="81"/>
      <c r="I169" s="81"/>
      <c r="J169" s="81"/>
      <c r="K169" s="49">
        <v>1400</v>
      </c>
      <c r="L169" s="49"/>
      <c r="M169" s="81"/>
      <c r="N169" s="37">
        <f t="shared" si="24"/>
        <v>1400</v>
      </c>
      <c r="O169" s="49">
        <f>N169</f>
        <v>1400</v>
      </c>
      <c r="P169" s="170">
        <v>0</v>
      </c>
      <c r="Q169" s="170">
        <v>0</v>
      </c>
    </row>
    <row r="170" spans="1:17" s="112" customFormat="1" ht="23.25" customHeight="1">
      <c r="A170" s="168"/>
      <c r="B170" s="45" t="s">
        <v>237</v>
      </c>
      <c r="C170" s="42" t="s">
        <v>341</v>
      </c>
      <c r="D170" s="81"/>
      <c r="E170" s="81"/>
      <c r="F170" s="81"/>
      <c r="G170" s="81"/>
      <c r="H170" s="81"/>
      <c r="I170" s="81"/>
      <c r="J170" s="81"/>
      <c r="K170" s="49">
        <v>1600</v>
      </c>
      <c r="L170" s="49"/>
      <c r="M170" s="81"/>
      <c r="N170" s="37">
        <f t="shared" si="24"/>
        <v>1600</v>
      </c>
      <c r="O170" s="49">
        <f>N170</f>
        <v>1600</v>
      </c>
      <c r="P170" s="170">
        <v>0</v>
      </c>
      <c r="Q170" s="170">
        <v>0</v>
      </c>
    </row>
    <row r="171" spans="1:17" s="112" customFormat="1" ht="31.5" customHeight="1">
      <c r="A171" s="182" t="s">
        <v>342</v>
      </c>
      <c r="B171" s="194"/>
      <c r="C171" s="196" t="s">
        <v>343</v>
      </c>
      <c r="D171" s="183" t="e">
        <f>D172+#REF!</f>
        <v>#REF!</v>
      </c>
      <c r="E171" s="183" t="e">
        <f>E172+#REF!</f>
        <v>#REF!</v>
      </c>
      <c r="F171" s="183" t="e">
        <f>F172+#REF!</f>
        <v>#REF!</v>
      </c>
      <c r="G171" s="183" t="e">
        <f>G172+#REF!</f>
        <v>#REF!</v>
      </c>
      <c r="H171" s="183" t="e">
        <f>H172+#REF!</f>
        <v>#REF!</v>
      </c>
      <c r="I171" s="183" t="e">
        <f>I172+#REF!</f>
        <v>#REF!</v>
      </c>
      <c r="J171" s="183" t="e">
        <f>J172+#REF!</f>
        <v>#REF!</v>
      </c>
      <c r="K171" s="183">
        <f>K172+K174</f>
        <v>780893</v>
      </c>
      <c r="L171" s="183">
        <f>L172+L174</f>
        <v>0</v>
      </c>
      <c r="M171" s="183">
        <f>M172+M174</f>
        <v>0</v>
      </c>
      <c r="N171" s="183">
        <f t="shared" si="24"/>
        <v>780893</v>
      </c>
      <c r="O171" s="183">
        <f>O172</f>
        <v>0</v>
      </c>
      <c r="P171" s="190">
        <f>P172</f>
        <v>780893</v>
      </c>
      <c r="Q171" s="190">
        <f>Q172</f>
        <v>0</v>
      </c>
    </row>
    <row r="172" spans="1:17" s="112" customFormat="1" ht="27" customHeight="1">
      <c r="A172" s="186" t="s">
        <v>344</v>
      </c>
      <c r="B172" s="176"/>
      <c r="C172" s="181" t="s">
        <v>345</v>
      </c>
      <c r="D172" s="178">
        <f>D173</f>
        <v>2700</v>
      </c>
      <c r="E172" s="178">
        <f>E173</f>
        <v>360000</v>
      </c>
      <c r="F172" s="178">
        <f>F173</f>
        <v>0</v>
      </c>
      <c r="G172" s="178">
        <f>G173</f>
        <v>0</v>
      </c>
      <c r="H172" s="178">
        <f>H173+H174</f>
        <v>496142</v>
      </c>
      <c r="I172" s="178">
        <f>I173+I174</f>
        <v>0</v>
      </c>
      <c r="J172" s="178">
        <f>J173+J174</f>
        <v>0</v>
      </c>
      <c r="K172" s="178">
        <f>K173</f>
        <v>600000</v>
      </c>
      <c r="L172" s="178">
        <f>L173</f>
        <v>0</v>
      </c>
      <c r="M172" s="178">
        <f>M173</f>
        <v>0</v>
      </c>
      <c r="N172" s="188">
        <f t="shared" si="24"/>
        <v>600000</v>
      </c>
      <c r="O172" s="178">
        <f>O173+O174</f>
        <v>0</v>
      </c>
      <c r="P172" s="178">
        <f>P173+P174</f>
        <v>780893</v>
      </c>
      <c r="Q172" s="178">
        <f>Q173+Q174</f>
        <v>0</v>
      </c>
    </row>
    <row r="173" spans="1:17" s="112" customFormat="1" ht="14.25" customHeight="1">
      <c r="A173" s="116"/>
      <c r="B173" s="45" t="s">
        <v>346</v>
      </c>
      <c r="C173" s="42" t="s">
        <v>347</v>
      </c>
      <c r="D173" s="37">
        <v>2700</v>
      </c>
      <c r="E173" s="49">
        <v>360000</v>
      </c>
      <c r="F173" s="49">
        <v>0</v>
      </c>
      <c r="G173" s="49">
        <v>0</v>
      </c>
      <c r="H173" s="49">
        <v>463742</v>
      </c>
      <c r="I173" s="49">
        <v>0</v>
      </c>
      <c r="J173" s="49">
        <v>0</v>
      </c>
      <c r="K173" s="37">
        <v>600000</v>
      </c>
      <c r="L173" s="37"/>
      <c r="M173" s="49"/>
      <c r="N173" s="37">
        <f t="shared" si="24"/>
        <v>600000</v>
      </c>
      <c r="O173" s="49">
        <v>0</v>
      </c>
      <c r="P173" s="172">
        <f>N173</f>
        <v>600000</v>
      </c>
      <c r="Q173" s="172">
        <v>0</v>
      </c>
    </row>
    <row r="174" spans="1:17" s="201" customFormat="1" ht="52.5" customHeight="1">
      <c r="A174" s="186" t="s">
        <v>348</v>
      </c>
      <c r="B174" s="176"/>
      <c r="C174" s="181" t="s">
        <v>349</v>
      </c>
      <c r="D174" s="178">
        <v>0</v>
      </c>
      <c r="E174" s="178">
        <v>390000</v>
      </c>
      <c r="F174" s="178">
        <v>0</v>
      </c>
      <c r="G174" s="178">
        <v>0</v>
      </c>
      <c r="H174" s="178">
        <v>32400</v>
      </c>
      <c r="I174" s="178">
        <v>0</v>
      </c>
      <c r="J174" s="178">
        <v>0</v>
      </c>
      <c r="K174" s="178">
        <f>K175+K176</f>
        <v>180893</v>
      </c>
      <c r="L174" s="178">
        <f>L175+L176</f>
        <v>0</v>
      </c>
      <c r="M174" s="178">
        <f>M175+M176</f>
        <v>0</v>
      </c>
      <c r="N174" s="188">
        <f t="shared" si="24"/>
        <v>180893</v>
      </c>
      <c r="O174" s="178">
        <f>O175+O176</f>
        <v>0</v>
      </c>
      <c r="P174" s="178">
        <f>P175+P176</f>
        <v>180893</v>
      </c>
      <c r="Q174" s="178">
        <f>Q175+Q176</f>
        <v>0</v>
      </c>
    </row>
    <row r="175" spans="1:17" s="201" customFormat="1" ht="20.25" customHeight="1">
      <c r="A175" s="116"/>
      <c r="B175" s="45" t="s">
        <v>350</v>
      </c>
      <c r="C175" s="42" t="s">
        <v>351</v>
      </c>
      <c r="D175" s="49"/>
      <c r="E175" s="49"/>
      <c r="F175" s="49"/>
      <c r="G175" s="49"/>
      <c r="H175" s="49"/>
      <c r="I175" s="49"/>
      <c r="J175" s="49"/>
      <c r="K175" s="49">
        <v>73217</v>
      </c>
      <c r="L175" s="49"/>
      <c r="M175" s="49"/>
      <c r="N175" s="37">
        <f t="shared" si="24"/>
        <v>73217</v>
      </c>
      <c r="O175" s="81">
        <f>O176+O177</f>
        <v>0</v>
      </c>
      <c r="P175" s="49">
        <f>N175</f>
        <v>73217</v>
      </c>
      <c r="Q175" s="49"/>
    </row>
    <row r="176" spans="1:17" s="112" customFormat="1" ht="20.25" customHeight="1">
      <c r="A176" s="116"/>
      <c r="B176" s="45" t="s">
        <v>350</v>
      </c>
      <c r="C176" s="42" t="s">
        <v>351</v>
      </c>
      <c r="D176" s="37"/>
      <c r="E176" s="49"/>
      <c r="F176" s="49"/>
      <c r="G176" s="49"/>
      <c r="H176" s="49"/>
      <c r="I176" s="49"/>
      <c r="J176" s="49"/>
      <c r="K176" s="49">
        <v>107676</v>
      </c>
      <c r="L176" s="49"/>
      <c r="M176" s="49"/>
      <c r="N176" s="37">
        <f t="shared" si="24"/>
        <v>107676</v>
      </c>
      <c r="O176" s="49">
        <v>0</v>
      </c>
      <c r="P176" s="49">
        <f>N176</f>
        <v>107676</v>
      </c>
      <c r="Q176" s="170">
        <v>0</v>
      </c>
    </row>
    <row r="177" spans="1:17" s="112" customFormat="1" ht="16.5" customHeight="1">
      <c r="A177" s="182" t="s">
        <v>352</v>
      </c>
      <c r="B177" s="194"/>
      <c r="C177" s="196" t="s">
        <v>353</v>
      </c>
      <c r="D177" s="183" t="e">
        <f aca="true" t="shared" si="26" ref="D177:M177">D178</f>
        <v>#REF!</v>
      </c>
      <c r="E177" s="183" t="e">
        <f t="shared" si="26"/>
        <v>#REF!</v>
      </c>
      <c r="F177" s="183">
        <f t="shared" si="26"/>
        <v>0</v>
      </c>
      <c r="G177" s="183">
        <f t="shared" si="26"/>
        <v>0</v>
      </c>
      <c r="H177" s="183">
        <f t="shared" si="26"/>
        <v>53260</v>
      </c>
      <c r="I177" s="183">
        <f t="shared" si="26"/>
        <v>0</v>
      </c>
      <c r="J177" s="183">
        <f t="shared" si="26"/>
        <v>0</v>
      </c>
      <c r="K177" s="183">
        <f t="shared" si="26"/>
        <v>375700</v>
      </c>
      <c r="L177" s="183">
        <f t="shared" si="26"/>
        <v>0</v>
      </c>
      <c r="M177" s="183">
        <f t="shared" si="26"/>
        <v>0</v>
      </c>
      <c r="N177" s="183">
        <f t="shared" si="24"/>
        <v>375700</v>
      </c>
      <c r="O177" s="183">
        <f>O178</f>
        <v>0</v>
      </c>
      <c r="P177" s="190">
        <f>P178</f>
        <v>375700</v>
      </c>
      <c r="Q177" s="190">
        <f>Q178</f>
        <v>0</v>
      </c>
    </row>
    <row r="178" spans="1:17" s="112" customFormat="1" ht="15" customHeight="1">
      <c r="A178" s="186" t="s">
        <v>354</v>
      </c>
      <c r="B178" s="176"/>
      <c r="C178" s="181" t="s">
        <v>355</v>
      </c>
      <c r="D178" s="178" t="e">
        <f>D179+D180+#REF!</f>
        <v>#REF!</v>
      </c>
      <c r="E178" s="178" t="e">
        <f>E179+E180+#REF!</f>
        <v>#REF!</v>
      </c>
      <c r="F178" s="178">
        <f aca="true" t="shared" si="27" ref="F178:M178">F179+F180</f>
        <v>0</v>
      </c>
      <c r="G178" s="178">
        <f t="shared" si="27"/>
        <v>0</v>
      </c>
      <c r="H178" s="178">
        <f t="shared" si="27"/>
        <v>53260</v>
      </c>
      <c r="I178" s="178">
        <f t="shared" si="27"/>
        <v>0</v>
      </c>
      <c r="J178" s="178">
        <f t="shared" si="27"/>
        <v>0</v>
      </c>
      <c r="K178" s="178">
        <f t="shared" si="27"/>
        <v>375700</v>
      </c>
      <c r="L178" s="178">
        <f t="shared" si="27"/>
        <v>0</v>
      </c>
      <c r="M178" s="178">
        <f t="shared" si="27"/>
        <v>0</v>
      </c>
      <c r="N178" s="188">
        <f t="shared" si="24"/>
        <v>375700</v>
      </c>
      <c r="O178" s="178">
        <f>O179+O180</f>
        <v>0</v>
      </c>
      <c r="P178" s="178">
        <f>P179+P180</f>
        <v>375700</v>
      </c>
      <c r="Q178" s="179">
        <f>Q179+Q180</f>
        <v>0</v>
      </c>
    </row>
    <row r="179" spans="1:17" s="112" customFormat="1" ht="17.25" customHeight="1">
      <c r="A179" s="116"/>
      <c r="B179" s="45" t="s">
        <v>356</v>
      </c>
      <c r="C179" s="42" t="s">
        <v>357</v>
      </c>
      <c r="D179" s="37">
        <v>0</v>
      </c>
      <c r="E179" s="49">
        <v>0</v>
      </c>
      <c r="F179" s="49">
        <v>0</v>
      </c>
      <c r="G179" s="49">
        <v>0</v>
      </c>
      <c r="H179" s="37">
        <v>18000</v>
      </c>
      <c r="I179" s="37"/>
      <c r="J179" s="37">
        <v>0</v>
      </c>
      <c r="K179" s="37">
        <v>0</v>
      </c>
      <c r="L179" s="37"/>
      <c r="M179" s="37"/>
      <c r="N179" s="37">
        <f t="shared" si="24"/>
        <v>0</v>
      </c>
      <c r="O179" s="49">
        <v>0</v>
      </c>
      <c r="P179" s="172">
        <f>K179</f>
        <v>0</v>
      </c>
      <c r="Q179" s="172">
        <v>0</v>
      </c>
    </row>
    <row r="180" spans="1:17" s="112" customFormat="1" ht="17.25" customHeight="1">
      <c r="A180" s="116"/>
      <c r="B180" s="45" t="s">
        <v>356</v>
      </c>
      <c r="C180" s="42" t="s">
        <v>358</v>
      </c>
      <c r="D180" s="37">
        <v>0</v>
      </c>
      <c r="E180" s="49">
        <v>0</v>
      </c>
      <c r="F180" s="49">
        <v>0</v>
      </c>
      <c r="G180" s="49">
        <v>0</v>
      </c>
      <c r="H180" s="37">
        <v>35260</v>
      </c>
      <c r="I180" s="37">
        <v>0</v>
      </c>
      <c r="J180" s="37">
        <v>0</v>
      </c>
      <c r="K180" s="37">
        <v>375700</v>
      </c>
      <c r="L180" s="37"/>
      <c r="M180" s="37">
        <v>0</v>
      </c>
      <c r="N180" s="37">
        <f t="shared" si="24"/>
        <v>375700</v>
      </c>
      <c r="O180" s="49">
        <v>0</v>
      </c>
      <c r="P180" s="172">
        <f>N180</f>
        <v>375700</v>
      </c>
      <c r="Q180" s="172">
        <v>0</v>
      </c>
    </row>
    <row r="181" spans="1:17" s="112" customFormat="1" ht="16.5" customHeight="1">
      <c r="A181" s="182" t="s">
        <v>122</v>
      </c>
      <c r="B181" s="194"/>
      <c r="C181" s="196" t="s">
        <v>359</v>
      </c>
      <c r="D181" s="183" t="e">
        <f>D182+D198+D209+#REF!+D238+#REF!+D263+#REF!</f>
        <v>#REF!</v>
      </c>
      <c r="E181" s="183" t="e">
        <f>E182+E198+E209+#REF!+E238+#REF!+E263+#REF!+#REF!+E276+E273+#REF!</f>
        <v>#REF!</v>
      </c>
      <c r="F181" s="183" t="e">
        <f>F182+F198+F209+F238+#REF!+#REF!+F263+#REF!+F273+F276+#REF!+#REF!</f>
        <v>#REF!</v>
      </c>
      <c r="G181" s="183" t="e">
        <f>G182+G198+G209+G238+#REF!+#REF!+G263+#REF!+G273+G276+#REF!+#REF!</f>
        <v>#REF!</v>
      </c>
      <c r="H181" s="183" t="e">
        <f>H182+H196+H198+H209+H229+H238+H263+H273+H276+#REF!</f>
        <v>#REF!</v>
      </c>
      <c r="I181" s="183" t="e">
        <f>I182+I196+I198+I209+I229+I238+I263+I273+I276+#REF!</f>
        <v>#REF!</v>
      </c>
      <c r="J181" s="183" t="e">
        <f>J182+J196+J198+J209+J229+J238+J263+J273+J276+#REF!</f>
        <v>#REF!</v>
      </c>
      <c r="K181" s="183">
        <f>K182+K196+K198+K209+K229+K238+K263+K273+K276</f>
        <v>10380835</v>
      </c>
      <c r="L181" s="183">
        <f>L182+L196+L198+L209+L229+L238+L263+L273+L276</f>
        <v>111828</v>
      </c>
      <c r="M181" s="183">
        <f>M182+M196+M198+M209+M229+M238+M263+M273+M276</f>
        <v>86827</v>
      </c>
      <c r="N181" s="183">
        <f t="shared" si="24"/>
        <v>10405836</v>
      </c>
      <c r="O181" s="183">
        <f>O182+O196+O198+O209+O229+O238+O263+O273+O276</f>
        <v>0</v>
      </c>
      <c r="P181" s="183">
        <f>P182+P196+P198+P209+P229+P238+P263+P273+P276</f>
        <v>10393836</v>
      </c>
      <c r="Q181" s="183">
        <f>Q182+Q196+Q198+Q209+Q229+Q238+Q263+Q273+Q276</f>
        <v>12000</v>
      </c>
    </row>
    <row r="182" spans="1:17" s="112" customFormat="1" ht="16.5" customHeight="1">
      <c r="A182" s="186" t="s">
        <v>360</v>
      </c>
      <c r="B182" s="176"/>
      <c r="C182" s="181" t="s">
        <v>361</v>
      </c>
      <c r="D182" s="178" t="e">
        <f>D184+D185+D186+#REF!</f>
        <v>#REF!</v>
      </c>
      <c r="E182" s="178" t="e">
        <f>E184+E185+E186+E187+E183+E189+#REF!+E190+#REF!+E192+E193+E194</f>
        <v>#REF!</v>
      </c>
      <c r="F182" s="178" t="e">
        <f>F184+F185+F186+F187+F183+F189+#REF!+F190+#REF!+F192+F193+F194</f>
        <v>#REF!</v>
      </c>
      <c r="G182" s="178" t="e">
        <f>G184+G185+G186+G187+G183+G189+#REF!+G190+#REF!+G192+G193+G194</f>
        <v>#REF!</v>
      </c>
      <c r="H182" s="178" t="e">
        <f>H184+H185+H186+H187+H189+H190+H192+H193+H194+H195+#REF!</f>
        <v>#REF!</v>
      </c>
      <c r="I182" s="178" t="e">
        <f>I184+I185+I186+I187+I189+I190+I192+I193+I194+I195+#REF!</f>
        <v>#REF!</v>
      </c>
      <c r="J182" s="178" t="e">
        <f>J184+J185+J186+J187+J189+J190+J192+J193+J194+J195+#REF!</f>
        <v>#REF!</v>
      </c>
      <c r="K182" s="178">
        <f>K184+K185+K186+K187+K188+K189+K190+K191+K192+K193+K194+K195+K183</f>
        <v>913386</v>
      </c>
      <c r="L182" s="178">
        <f>L184+L185+L186+L187+L188+L189+L190+L191+L192+L193+L194+L195+L183</f>
        <v>6559</v>
      </c>
      <c r="M182" s="178">
        <f>M184+M185+M186+M187+M188+M189+M190+M191+M192+M193+M194+M195+M183</f>
        <v>15060</v>
      </c>
      <c r="N182" s="188">
        <f t="shared" si="24"/>
        <v>904885</v>
      </c>
      <c r="O182" s="178">
        <f>O184+O185+O186+O187+O188+O189+O190+O191+O192+O193+O194+O195+O183</f>
        <v>0</v>
      </c>
      <c r="P182" s="178">
        <f>P184+P185+P186+P187+P188+P189+P190+P191+P192+P193+P194+P195+P183</f>
        <v>904885</v>
      </c>
      <c r="Q182" s="178">
        <f>Q184+Q185+Q186+Q187+Q188+Q189+Q190+Q191+Q192+Q193+Q194+Q195+Q183</f>
        <v>0</v>
      </c>
    </row>
    <row r="183" spans="1:17" s="112" customFormat="1" ht="18" customHeight="1">
      <c r="A183" s="168"/>
      <c r="B183" s="173" t="s">
        <v>217</v>
      </c>
      <c r="C183" s="75" t="s">
        <v>362</v>
      </c>
      <c r="D183" s="37"/>
      <c r="E183" s="37">
        <v>1974</v>
      </c>
      <c r="F183" s="37">
        <v>0</v>
      </c>
      <c r="G183" s="37">
        <v>0</v>
      </c>
      <c r="H183" s="37"/>
      <c r="I183" s="37"/>
      <c r="J183" s="37"/>
      <c r="K183" s="37">
        <v>0</v>
      </c>
      <c r="L183" s="37"/>
      <c r="M183" s="37"/>
      <c r="N183" s="37">
        <f t="shared" si="24"/>
        <v>0</v>
      </c>
      <c r="O183" s="37">
        <v>0</v>
      </c>
      <c r="P183" s="172">
        <f aca="true" t="shared" si="28" ref="P183:P195">N183</f>
        <v>0</v>
      </c>
      <c r="Q183" s="172">
        <v>0</v>
      </c>
    </row>
    <row r="184" spans="1:17" s="112" customFormat="1" ht="16.5" customHeight="1">
      <c r="A184" s="168"/>
      <c r="B184" s="36" t="s">
        <v>221</v>
      </c>
      <c r="C184" s="75" t="s">
        <v>258</v>
      </c>
      <c r="D184" s="37">
        <v>866965</v>
      </c>
      <c r="E184" s="37">
        <v>823342</v>
      </c>
      <c r="F184" s="37">
        <v>45000</v>
      </c>
      <c r="G184" s="37">
        <v>24814</v>
      </c>
      <c r="H184" s="37">
        <v>355622</v>
      </c>
      <c r="I184" s="37">
        <v>0</v>
      </c>
      <c r="J184" s="37">
        <v>0</v>
      </c>
      <c r="K184" s="37">
        <v>456714</v>
      </c>
      <c r="L184" s="37">
        <v>6559</v>
      </c>
      <c r="M184" s="37"/>
      <c r="N184" s="37">
        <f t="shared" si="24"/>
        <v>463273</v>
      </c>
      <c r="O184" s="37">
        <v>0</v>
      </c>
      <c r="P184" s="172">
        <f t="shared" si="28"/>
        <v>463273</v>
      </c>
      <c r="Q184" s="172">
        <v>0</v>
      </c>
    </row>
    <row r="185" spans="1:17" s="112" customFormat="1" ht="15.75" customHeight="1">
      <c r="A185" s="168"/>
      <c r="B185" s="36" t="s">
        <v>225</v>
      </c>
      <c r="C185" s="75" t="s">
        <v>226</v>
      </c>
      <c r="D185" s="37">
        <v>75166</v>
      </c>
      <c r="E185" s="37">
        <v>81513</v>
      </c>
      <c r="F185" s="37">
        <v>0</v>
      </c>
      <c r="G185" s="37">
        <v>0</v>
      </c>
      <c r="H185" s="37">
        <v>40794</v>
      </c>
      <c r="I185" s="37">
        <v>0</v>
      </c>
      <c r="J185" s="37">
        <v>0</v>
      </c>
      <c r="K185" s="37">
        <v>33500</v>
      </c>
      <c r="L185" s="37"/>
      <c r="M185" s="37">
        <v>6559</v>
      </c>
      <c r="N185" s="37">
        <f t="shared" si="24"/>
        <v>26941</v>
      </c>
      <c r="O185" s="37">
        <v>0</v>
      </c>
      <c r="P185" s="172">
        <f t="shared" si="28"/>
        <v>26941</v>
      </c>
      <c r="Q185" s="172">
        <v>0</v>
      </c>
    </row>
    <row r="186" spans="1:17" s="112" customFormat="1" ht="15" customHeight="1">
      <c r="A186" s="168"/>
      <c r="B186" s="173" t="s">
        <v>290</v>
      </c>
      <c r="C186" s="75" t="s">
        <v>260</v>
      </c>
      <c r="D186" s="37">
        <v>205528</v>
      </c>
      <c r="E186" s="37">
        <v>158209</v>
      </c>
      <c r="F186" s="37">
        <v>8046</v>
      </c>
      <c r="G186" s="37">
        <v>4948</v>
      </c>
      <c r="H186" s="37">
        <v>70500</v>
      </c>
      <c r="I186" s="37">
        <v>0</v>
      </c>
      <c r="J186" s="37">
        <v>0</v>
      </c>
      <c r="K186" s="37">
        <v>88900</v>
      </c>
      <c r="L186" s="37"/>
      <c r="M186" s="37"/>
      <c r="N186" s="37">
        <f t="shared" si="24"/>
        <v>88900</v>
      </c>
      <c r="O186" s="37">
        <v>0</v>
      </c>
      <c r="P186" s="172">
        <f t="shared" si="28"/>
        <v>88900</v>
      </c>
      <c r="Q186" s="172">
        <v>0</v>
      </c>
    </row>
    <row r="187" spans="1:17" s="112" customFormat="1" ht="15" customHeight="1">
      <c r="A187" s="168"/>
      <c r="B187" s="173" t="s">
        <v>229</v>
      </c>
      <c r="C187" s="75" t="s">
        <v>230</v>
      </c>
      <c r="D187" s="37"/>
      <c r="E187" s="37">
        <v>21676</v>
      </c>
      <c r="F187" s="37">
        <v>1102</v>
      </c>
      <c r="G187" s="37">
        <v>680</v>
      </c>
      <c r="H187" s="37">
        <v>9660</v>
      </c>
      <c r="I187" s="37">
        <v>0</v>
      </c>
      <c r="J187" s="37">
        <v>0</v>
      </c>
      <c r="K187" s="37">
        <v>12000</v>
      </c>
      <c r="L187" s="37"/>
      <c r="M187" s="37"/>
      <c r="N187" s="37">
        <f t="shared" si="24"/>
        <v>12000</v>
      </c>
      <c r="O187" s="37">
        <v>0</v>
      </c>
      <c r="P187" s="172">
        <f t="shared" si="28"/>
        <v>12000</v>
      </c>
      <c r="Q187" s="172">
        <v>0</v>
      </c>
    </row>
    <row r="188" spans="1:17" s="112" customFormat="1" ht="15" customHeight="1">
      <c r="A188" s="168"/>
      <c r="B188" s="173" t="s">
        <v>261</v>
      </c>
      <c r="C188" s="75" t="s">
        <v>262</v>
      </c>
      <c r="D188" s="37"/>
      <c r="E188" s="37"/>
      <c r="F188" s="37"/>
      <c r="G188" s="37"/>
      <c r="H188" s="37"/>
      <c r="I188" s="37"/>
      <c r="J188" s="37"/>
      <c r="K188" s="37">
        <v>2000</v>
      </c>
      <c r="L188" s="37"/>
      <c r="M188" s="37"/>
      <c r="N188" s="37">
        <f t="shared" si="24"/>
        <v>2000</v>
      </c>
      <c r="O188" s="37">
        <v>0</v>
      </c>
      <c r="P188" s="172">
        <f t="shared" si="28"/>
        <v>2000</v>
      </c>
      <c r="Q188" s="172"/>
    </row>
    <row r="189" spans="1:17" s="112" customFormat="1" ht="16.5" customHeight="1">
      <c r="A189" s="168"/>
      <c r="B189" s="173" t="s">
        <v>231</v>
      </c>
      <c r="C189" s="75" t="s">
        <v>363</v>
      </c>
      <c r="D189" s="37"/>
      <c r="E189" s="37">
        <v>35892</v>
      </c>
      <c r="F189" s="37">
        <v>2000</v>
      </c>
      <c r="G189" s="37">
        <v>0</v>
      </c>
      <c r="H189" s="37">
        <v>22000</v>
      </c>
      <c r="I189" s="37">
        <v>0</v>
      </c>
      <c r="J189" s="37">
        <v>0</v>
      </c>
      <c r="K189" s="37">
        <v>43500</v>
      </c>
      <c r="L189" s="37"/>
      <c r="M189" s="37"/>
      <c r="N189" s="37">
        <f t="shared" si="24"/>
        <v>43500</v>
      </c>
      <c r="O189" s="37">
        <v>0</v>
      </c>
      <c r="P189" s="172">
        <f t="shared" si="28"/>
        <v>43500</v>
      </c>
      <c r="Q189" s="172">
        <v>0</v>
      </c>
    </row>
    <row r="190" spans="1:17" s="112" customFormat="1" ht="16.5" customHeight="1">
      <c r="A190" s="168"/>
      <c r="B190" s="173" t="s">
        <v>233</v>
      </c>
      <c r="C190" s="75" t="s">
        <v>291</v>
      </c>
      <c r="D190" s="37"/>
      <c r="E190" s="37">
        <v>12822</v>
      </c>
      <c r="F190" s="37">
        <v>0</v>
      </c>
      <c r="G190" s="37">
        <v>0</v>
      </c>
      <c r="H190" s="37">
        <v>8850</v>
      </c>
      <c r="I190" s="37">
        <v>0</v>
      </c>
      <c r="J190" s="37">
        <v>0</v>
      </c>
      <c r="K190" s="37">
        <v>9135</v>
      </c>
      <c r="L190" s="37"/>
      <c r="M190" s="37"/>
      <c r="N190" s="37">
        <f t="shared" si="24"/>
        <v>9135</v>
      </c>
      <c r="O190" s="37">
        <v>0</v>
      </c>
      <c r="P190" s="172">
        <f t="shared" si="28"/>
        <v>9135</v>
      </c>
      <c r="Q190" s="172">
        <v>0</v>
      </c>
    </row>
    <row r="191" spans="1:17" s="112" customFormat="1" ht="16.5" customHeight="1">
      <c r="A191" s="168"/>
      <c r="B191" s="173" t="s">
        <v>235</v>
      </c>
      <c r="C191" s="75" t="s">
        <v>236</v>
      </c>
      <c r="D191" s="37"/>
      <c r="E191" s="37"/>
      <c r="F191" s="37"/>
      <c r="G191" s="37"/>
      <c r="H191" s="37"/>
      <c r="I191" s="37"/>
      <c r="J191" s="37"/>
      <c r="K191" s="37">
        <v>0</v>
      </c>
      <c r="L191" s="37"/>
      <c r="M191" s="37"/>
      <c r="N191" s="37">
        <f t="shared" si="24"/>
        <v>0</v>
      </c>
      <c r="O191" s="37">
        <v>0</v>
      </c>
      <c r="P191" s="172">
        <f t="shared" si="28"/>
        <v>0</v>
      </c>
      <c r="Q191" s="172">
        <v>0</v>
      </c>
    </row>
    <row r="192" spans="1:17" s="112" customFormat="1" ht="16.5" customHeight="1">
      <c r="A192" s="168"/>
      <c r="B192" s="173" t="s">
        <v>237</v>
      </c>
      <c r="C192" s="75" t="s">
        <v>297</v>
      </c>
      <c r="D192" s="37"/>
      <c r="E192" s="37">
        <v>9517</v>
      </c>
      <c r="F192" s="37">
        <v>0</v>
      </c>
      <c r="G192" s="37">
        <v>0</v>
      </c>
      <c r="H192" s="37">
        <v>5400</v>
      </c>
      <c r="I192" s="37">
        <v>0</v>
      </c>
      <c r="J192" s="37">
        <v>0</v>
      </c>
      <c r="K192" s="37">
        <v>16380</v>
      </c>
      <c r="L192" s="37"/>
      <c r="M192" s="37"/>
      <c r="N192" s="37">
        <f t="shared" si="24"/>
        <v>16380</v>
      </c>
      <c r="O192" s="37">
        <v>0</v>
      </c>
      <c r="P192" s="172">
        <f t="shared" si="28"/>
        <v>16380</v>
      </c>
      <c r="Q192" s="172">
        <v>0</v>
      </c>
    </row>
    <row r="193" spans="1:17" s="112" customFormat="1" ht="15" customHeight="1">
      <c r="A193" s="168"/>
      <c r="B193" s="173" t="s">
        <v>239</v>
      </c>
      <c r="C193" s="75" t="s">
        <v>240</v>
      </c>
      <c r="D193" s="37"/>
      <c r="E193" s="37">
        <v>229</v>
      </c>
      <c r="F193" s="37">
        <v>800</v>
      </c>
      <c r="G193" s="37">
        <v>0</v>
      </c>
      <c r="H193" s="37">
        <v>200</v>
      </c>
      <c r="I193" s="37">
        <v>0</v>
      </c>
      <c r="J193" s="37">
        <v>0</v>
      </c>
      <c r="K193" s="37">
        <v>1200</v>
      </c>
      <c r="L193" s="37"/>
      <c r="M193" s="37"/>
      <c r="N193" s="37">
        <f t="shared" si="24"/>
        <v>1200</v>
      </c>
      <c r="O193" s="37">
        <v>0</v>
      </c>
      <c r="P193" s="172">
        <f t="shared" si="28"/>
        <v>1200</v>
      </c>
      <c r="Q193" s="172">
        <v>0</v>
      </c>
    </row>
    <row r="194" spans="1:17" s="112" customFormat="1" ht="17.25" customHeight="1">
      <c r="A194" s="168"/>
      <c r="B194" s="173" t="s">
        <v>243</v>
      </c>
      <c r="C194" s="75" t="s">
        <v>244</v>
      </c>
      <c r="D194" s="37"/>
      <c r="E194" s="37">
        <v>60464</v>
      </c>
      <c r="F194" s="37">
        <v>0</v>
      </c>
      <c r="G194" s="37">
        <v>0</v>
      </c>
      <c r="H194" s="37">
        <v>17534</v>
      </c>
      <c r="I194" s="37">
        <v>0</v>
      </c>
      <c r="J194" s="37">
        <v>0</v>
      </c>
      <c r="K194" s="37">
        <v>29453</v>
      </c>
      <c r="L194" s="37"/>
      <c r="M194" s="37"/>
      <c r="N194" s="37">
        <f t="shared" si="24"/>
        <v>29453</v>
      </c>
      <c r="O194" s="37">
        <v>0</v>
      </c>
      <c r="P194" s="172">
        <f t="shared" si="28"/>
        <v>29453</v>
      </c>
      <c r="Q194" s="172">
        <v>0</v>
      </c>
    </row>
    <row r="195" spans="1:17" s="112" customFormat="1" ht="21.75" customHeight="1">
      <c r="A195" s="168"/>
      <c r="B195" s="36" t="s">
        <v>364</v>
      </c>
      <c r="C195" s="87" t="s">
        <v>365</v>
      </c>
      <c r="D195" s="37"/>
      <c r="E195" s="37"/>
      <c r="F195" s="37"/>
      <c r="G195" s="37"/>
      <c r="H195" s="37">
        <v>181417</v>
      </c>
      <c r="I195" s="37">
        <v>0</v>
      </c>
      <c r="J195" s="37">
        <v>0</v>
      </c>
      <c r="K195" s="37">
        <v>220604</v>
      </c>
      <c r="L195" s="37"/>
      <c r="M195" s="37">
        <v>8501</v>
      </c>
      <c r="N195" s="37">
        <f t="shared" si="24"/>
        <v>212103</v>
      </c>
      <c r="O195" s="37">
        <v>0</v>
      </c>
      <c r="P195" s="172">
        <f t="shared" si="28"/>
        <v>212103</v>
      </c>
      <c r="Q195" s="172">
        <v>0</v>
      </c>
    </row>
    <row r="196" spans="1:17" s="112" customFormat="1" ht="18.75" customHeight="1">
      <c r="A196" s="186" t="s">
        <v>366</v>
      </c>
      <c r="B196" s="176"/>
      <c r="C196" s="181" t="s">
        <v>367</v>
      </c>
      <c r="D196" s="178"/>
      <c r="E196" s="178"/>
      <c r="F196" s="178"/>
      <c r="G196" s="178"/>
      <c r="H196" s="178">
        <f aca="true" t="shared" si="29" ref="H196:M196">H197</f>
        <v>65981</v>
      </c>
      <c r="I196" s="178">
        <f t="shared" si="29"/>
        <v>0</v>
      </c>
      <c r="J196" s="178">
        <f t="shared" si="29"/>
        <v>0</v>
      </c>
      <c r="K196" s="178">
        <f t="shared" si="29"/>
        <v>111982</v>
      </c>
      <c r="L196" s="178">
        <f t="shared" si="29"/>
        <v>0</v>
      </c>
      <c r="M196" s="178">
        <f t="shared" si="29"/>
        <v>0</v>
      </c>
      <c r="N196" s="188">
        <f t="shared" si="24"/>
        <v>111982</v>
      </c>
      <c r="O196" s="178">
        <f>O197</f>
        <v>0</v>
      </c>
      <c r="P196" s="178">
        <f>P197</f>
        <v>111982</v>
      </c>
      <c r="Q196" s="178">
        <f>Q197</f>
        <v>0</v>
      </c>
    </row>
    <row r="197" spans="1:17" s="112" customFormat="1" ht="21" customHeight="1">
      <c r="A197" s="168"/>
      <c r="B197" s="36" t="s">
        <v>364</v>
      </c>
      <c r="C197" s="87" t="s">
        <v>365</v>
      </c>
      <c r="D197" s="37"/>
      <c r="E197" s="37"/>
      <c r="F197" s="37"/>
      <c r="G197" s="37"/>
      <c r="H197" s="37">
        <v>65981</v>
      </c>
      <c r="I197" s="37">
        <v>0</v>
      </c>
      <c r="J197" s="37">
        <v>0</v>
      </c>
      <c r="K197" s="37">
        <v>111982</v>
      </c>
      <c r="L197" s="37"/>
      <c r="M197" s="37"/>
      <c r="N197" s="37">
        <f t="shared" si="24"/>
        <v>111982</v>
      </c>
      <c r="O197" s="37">
        <v>0</v>
      </c>
      <c r="P197" s="172">
        <f>N197</f>
        <v>111982</v>
      </c>
      <c r="Q197" s="172">
        <v>0</v>
      </c>
    </row>
    <row r="198" spans="1:17" s="112" customFormat="1" ht="18.75" customHeight="1">
      <c r="A198" s="186" t="s">
        <v>368</v>
      </c>
      <c r="B198" s="176"/>
      <c r="C198" s="181" t="s">
        <v>369</v>
      </c>
      <c r="D198" s="178" t="e">
        <f>D199+D200+D201+#REF!</f>
        <v>#REF!</v>
      </c>
      <c r="E198" s="178" t="e">
        <f>E199+E200+E201+E202+#REF!+E203+#REF!+#REF!+E206</f>
        <v>#REF!</v>
      </c>
      <c r="F198" s="178" t="e">
        <f>F199+F200+F201+F202+#REF!+F203+#REF!+#REF!+F206</f>
        <v>#REF!</v>
      </c>
      <c r="G198" s="178" t="e">
        <f>G199+G200+G201+G202+#REF!+G203+#REF!+#REF!+G206</f>
        <v>#REF!</v>
      </c>
      <c r="H198" s="178">
        <f>H199+H200+H201+H202+H203+H206+H208+H205</f>
        <v>416271</v>
      </c>
      <c r="I198" s="178">
        <f>I199+I200+I201+I202+I203+I206+I208+I205</f>
        <v>0</v>
      </c>
      <c r="J198" s="178">
        <f>J199+J200+J201+J202+J203+J206+J208+J205</f>
        <v>0</v>
      </c>
      <c r="K198" s="178">
        <f>K199+K200+K201+K202+K203+K206+K208+K205+K204+K207</f>
        <v>927189</v>
      </c>
      <c r="L198" s="178">
        <f>L199+L200+L201+L202+L203+L206+L208+L205+L204+L207</f>
        <v>4910</v>
      </c>
      <c r="M198" s="178">
        <f>M199+M200+M201+M202+M203+M206+M208+M205+M204+M207</f>
        <v>4910</v>
      </c>
      <c r="N198" s="178">
        <f t="shared" si="24"/>
        <v>927189</v>
      </c>
      <c r="O198" s="178">
        <f>O199+O200+O201+O202+O203+O206+O208+O205+O204</f>
        <v>0</v>
      </c>
      <c r="P198" s="178">
        <f>P199+P200+P201+P202+P203+P204+P205+P206+P207+P208</f>
        <v>927189</v>
      </c>
      <c r="Q198" s="178">
        <f>Q199+Q200+Q201+Q202+Q203+Q206+Q208+Q205+Q204</f>
        <v>0</v>
      </c>
    </row>
    <row r="199" spans="1:17" s="112" customFormat="1" ht="18" customHeight="1">
      <c r="A199" s="168"/>
      <c r="B199" s="36" t="s">
        <v>221</v>
      </c>
      <c r="C199" s="75" t="s">
        <v>258</v>
      </c>
      <c r="D199" s="37">
        <v>212518</v>
      </c>
      <c r="E199" s="37">
        <v>225071</v>
      </c>
      <c r="F199" s="37">
        <v>24814</v>
      </c>
      <c r="G199" s="37">
        <v>0</v>
      </c>
      <c r="H199" s="37">
        <v>279732</v>
      </c>
      <c r="I199" s="37">
        <v>0</v>
      </c>
      <c r="J199" s="37">
        <v>0</v>
      </c>
      <c r="K199" s="37">
        <v>283933</v>
      </c>
      <c r="L199" s="37">
        <v>4910</v>
      </c>
      <c r="M199" s="37"/>
      <c r="N199" s="37">
        <f t="shared" si="24"/>
        <v>288843</v>
      </c>
      <c r="O199" s="37">
        <v>0</v>
      </c>
      <c r="P199" s="172">
        <f aca="true" t="shared" si="30" ref="P199:P208">N199</f>
        <v>288843</v>
      </c>
      <c r="Q199" s="172">
        <v>0</v>
      </c>
    </row>
    <row r="200" spans="1:17" s="112" customFormat="1" ht="16.5" customHeight="1">
      <c r="A200" s="168"/>
      <c r="B200" s="36" t="s">
        <v>225</v>
      </c>
      <c r="C200" s="75" t="s">
        <v>226</v>
      </c>
      <c r="D200" s="37">
        <v>4145</v>
      </c>
      <c r="E200" s="37">
        <v>6923</v>
      </c>
      <c r="F200" s="37">
        <v>0</v>
      </c>
      <c r="G200" s="37">
        <v>0</v>
      </c>
      <c r="H200" s="49">
        <v>10410</v>
      </c>
      <c r="I200" s="49">
        <v>0</v>
      </c>
      <c r="J200" s="49">
        <v>0</v>
      </c>
      <c r="K200" s="37">
        <v>22984</v>
      </c>
      <c r="L200" s="37"/>
      <c r="M200" s="49">
        <v>4910</v>
      </c>
      <c r="N200" s="37">
        <f t="shared" si="24"/>
        <v>18074</v>
      </c>
      <c r="O200" s="37">
        <v>0</v>
      </c>
      <c r="P200" s="172">
        <f t="shared" si="30"/>
        <v>18074</v>
      </c>
      <c r="Q200" s="172">
        <v>0</v>
      </c>
    </row>
    <row r="201" spans="1:17" s="112" customFormat="1" ht="15.75" customHeight="1">
      <c r="A201" s="168"/>
      <c r="B201" s="173" t="s">
        <v>290</v>
      </c>
      <c r="C201" s="75" t="s">
        <v>260</v>
      </c>
      <c r="D201" s="37">
        <v>44040</v>
      </c>
      <c r="E201" s="37">
        <v>40253</v>
      </c>
      <c r="F201" s="37">
        <v>4948</v>
      </c>
      <c r="G201" s="37">
        <v>0</v>
      </c>
      <c r="H201" s="37">
        <v>51300</v>
      </c>
      <c r="I201" s="37">
        <v>0</v>
      </c>
      <c r="J201" s="37">
        <v>0</v>
      </c>
      <c r="K201" s="37">
        <v>55214</v>
      </c>
      <c r="L201" s="37"/>
      <c r="M201" s="37"/>
      <c r="N201" s="37">
        <f t="shared" si="24"/>
        <v>55214</v>
      </c>
      <c r="O201" s="37">
        <v>0</v>
      </c>
      <c r="P201" s="172">
        <f t="shared" si="30"/>
        <v>55214</v>
      </c>
      <c r="Q201" s="172">
        <v>0</v>
      </c>
    </row>
    <row r="202" spans="1:17" s="112" customFormat="1" ht="14.25" customHeight="1">
      <c r="A202" s="168"/>
      <c r="B202" s="173" t="s">
        <v>229</v>
      </c>
      <c r="C202" s="75" t="s">
        <v>230</v>
      </c>
      <c r="D202" s="37"/>
      <c r="E202" s="37">
        <v>5538</v>
      </c>
      <c r="F202" s="37">
        <v>680</v>
      </c>
      <c r="G202" s="37">
        <v>0</v>
      </c>
      <c r="H202" s="37">
        <v>7030</v>
      </c>
      <c r="I202" s="37">
        <v>0</v>
      </c>
      <c r="J202" s="37">
        <v>0</v>
      </c>
      <c r="K202" s="37">
        <v>7520</v>
      </c>
      <c r="L202" s="37"/>
      <c r="M202" s="37"/>
      <c r="N202" s="37">
        <f t="shared" si="24"/>
        <v>7520</v>
      </c>
      <c r="O202" s="37">
        <v>0</v>
      </c>
      <c r="P202" s="172">
        <f t="shared" si="30"/>
        <v>7520</v>
      </c>
      <c r="Q202" s="172">
        <v>0</v>
      </c>
    </row>
    <row r="203" spans="1:17" s="112" customFormat="1" ht="14.25" customHeight="1">
      <c r="A203" s="168"/>
      <c r="B203" s="36" t="s">
        <v>231</v>
      </c>
      <c r="C203" s="37" t="s">
        <v>370</v>
      </c>
      <c r="D203" s="37"/>
      <c r="E203" s="37">
        <v>1700</v>
      </c>
      <c r="F203" s="37">
        <v>0</v>
      </c>
      <c r="G203" s="37">
        <v>0</v>
      </c>
      <c r="H203" s="37">
        <v>300</v>
      </c>
      <c r="I203" s="37">
        <v>0</v>
      </c>
      <c r="J203" s="37">
        <v>0</v>
      </c>
      <c r="K203" s="37">
        <v>57370</v>
      </c>
      <c r="L203" s="37">
        <v>0</v>
      </c>
      <c r="M203" s="37"/>
      <c r="N203" s="37">
        <f t="shared" si="24"/>
        <v>57370</v>
      </c>
      <c r="O203" s="37">
        <v>0</v>
      </c>
      <c r="P203" s="172">
        <f t="shared" si="30"/>
        <v>57370</v>
      </c>
      <c r="Q203" s="172">
        <v>0</v>
      </c>
    </row>
    <row r="204" spans="1:17" s="112" customFormat="1" ht="14.25" customHeight="1">
      <c r="A204" s="168"/>
      <c r="B204" s="36" t="s">
        <v>233</v>
      </c>
      <c r="C204" s="37" t="s">
        <v>291</v>
      </c>
      <c r="D204" s="37"/>
      <c r="E204" s="37"/>
      <c r="F204" s="37"/>
      <c r="G204" s="37"/>
      <c r="H204" s="37"/>
      <c r="I204" s="37"/>
      <c r="J204" s="37"/>
      <c r="K204" s="37">
        <v>2100</v>
      </c>
      <c r="L204" s="37"/>
      <c r="M204" s="37"/>
      <c r="N204" s="37">
        <f t="shared" si="24"/>
        <v>2100</v>
      </c>
      <c r="O204" s="37">
        <v>0</v>
      </c>
      <c r="P204" s="172">
        <f t="shared" si="30"/>
        <v>2100</v>
      </c>
      <c r="Q204" s="172">
        <v>0</v>
      </c>
    </row>
    <row r="205" spans="1:17" s="112" customFormat="1" ht="14.25" customHeight="1">
      <c r="A205" s="168"/>
      <c r="B205" s="36" t="s">
        <v>237</v>
      </c>
      <c r="C205" s="37" t="s">
        <v>297</v>
      </c>
      <c r="D205" s="37"/>
      <c r="E205" s="37"/>
      <c r="F205" s="37"/>
      <c r="G205" s="37"/>
      <c r="H205" s="37">
        <v>1700</v>
      </c>
      <c r="I205" s="37">
        <v>0</v>
      </c>
      <c r="J205" s="37">
        <v>0</v>
      </c>
      <c r="K205" s="37">
        <v>3675</v>
      </c>
      <c r="L205" s="37"/>
      <c r="M205" s="37"/>
      <c r="N205" s="37">
        <f t="shared" si="24"/>
        <v>3675</v>
      </c>
      <c r="O205" s="37">
        <v>0</v>
      </c>
      <c r="P205" s="172">
        <f t="shared" si="30"/>
        <v>3675</v>
      </c>
      <c r="Q205" s="172">
        <v>0</v>
      </c>
    </row>
    <row r="206" spans="1:17" s="112" customFormat="1" ht="18.75" customHeight="1">
      <c r="A206" s="168"/>
      <c r="B206" s="36" t="s">
        <v>243</v>
      </c>
      <c r="C206" s="37" t="s">
        <v>244</v>
      </c>
      <c r="D206" s="37"/>
      <c r="E206" s="37">
        <v>15689</v>
      </c>
      <c r="F206" s="37">
        <v>0</v>
      </c>
      <c r="G206" s="37">
        <v>0</v>
      </c>
      <c r="H206" s="49">
        <v>14740</v>
      </c>
      <c r="I206" s="49">
        <v>0</v>
      </c>
      <c r="J206" s="49">
        <v>0</v>
      </c>
      <c r="K206" s="37">
        <v>14862</v>
      </c>
      <c r="L206" s="37"/>
      <c r="M206" s="49"/>
      <c r="N206" s="37">
        <f t="shared" si="24"/>
        <v>14862</v>
      </c>
      <c r="O206" s="37">
        <v>0</v>
      </c>
      <c r="P206" s="172">
        <f t="shared" si="30"/>
        <v>14862</v>
      </c>
      <c r="Q206" s="172">
        <v>0</v>
      </c>
    </row>
    <row r="207" spans="1:17" s="112" customFormat="1" ht="16.5" customHeight="1">
      <c r="A207" s="168"/>
      <c r="B207" s="36" t="s">
        <v>270</v>
      </c>
      <c r="C207" s="37" t="s">
        <v>271</v>
      </c>
      <c r="D207" s="37"/>
      <c r="E207" s="37"/>
      <c r="F207" s="37"/>
      <c r="G207" s="37"/>
      <c r="H207" s="49"/>
      <c r="I207" s="49"/>
      <c r="J207" s="49"/>
      <c r="K207" s="37">
        <v>240451</v>
      </c>
      <c r="L207" s="37">
        <v>0</v>
      </c>
      <c r="M207" s="49"/>
      <c r="N207" s="37">
        <f t="shared" si="24"/>
        <v>240451</v>
      </c>
      <c r="O207" s="37">
        <v>0</v>
      </c>
      <c r="P207" s="172">
        <f t="shared" si="30"/>
        <v>240451</v>
      </c>
      <c r="Q207" s="172">
        <v>0</v>
      </c>
    </row>
    <row r="208" spans="1:17" s="112" customFormat="1" ht="22.5" customHeight="1">
      <c r="A208" s="168"/>
      <c r="B208" s="36" t="s">
        <v>364</v>
      </c>
      <c r="C208" s="87" t="s">
        <v>371</v>
      </c>
      <c r="D208" s="37"/>
      <c r="E208" s="37"/>
      <c r="F208" s="37"/>
      <c r="G208" s="37"/>
      <c r="H208" s="37">
        <v>51059</v>
      </c>
      <c r="I208" s="37">
        <v>0</v>
      </c>
      <c r="J208" s="37">
        <v>0</v>
      </c>
      <c r="K208" s="37">
        <v>239080</v>
      </c>
      <c r="L208" s="37"/>
      <c r="M208" s="37"/>
      <c r="N208" s="37">
        <f t="shared" si="24"/>
        <v>239080</v>
      </c>
      <c r="O208" s="37">
        <v>0</v>
      </c>
      <c r="P208" s="172">
        <f t="shared" si="30"/>
        <v>239080</v>
      </c>
      <c r="Q208" s="172">
        <v>0</v>
      </c>
    </row>
    <row r="209" spans="1:17" s="112" customFormat="1" ht="16.5" customHeight="1">
      <c r="A209" s="186" t="s">
        <v>124</v>
      </c>
      <c r="B209" s="187"/>
      <c r="C209" s="178" t="s">
        <v>123</v>
      </c>
      <c r="D209" s="178" t="e">
        <f>D211+D212+D213+#REF!+D216+#REF!</f>
        <v>#REF!</v>
      </c>
      <c r="E209" s="178" t="e">
        <f>E211+E212+E213+E214+#REF!+E215+E216+#REF!+E219+#REF!+E220+E222+E223+E224+E226+#REF!</f>
        <v>#REF!</v>
      </c>
      <c r="F209" s="178" t="e">
        <f>F211+F212+F213+F214+#REF!+F215+F216+#REF!+F219+#REF!+F220+F222+F223+F224+F226+#REF!</f>
        <v>#REF!</v>
      </c>
      <c r="G209" s="178" t="e">
        <f>G211+G212+G213+G214+#REF!+G215+G216+#REF!+G219+#REF!+G220+G222+G223+G224+G226+#REF!</f>
        <v>#REF!</v>
      </c>
      <c r="H209" s="178" t="e">
        <f>H211+H212+H213+H214+H210+H215+H216+H218+#REF!+H219+#REF!+H220+H222+H223+H224+H226+H225</f>
        <v>#REF!</v>
      </c>
      <c r="I209" s="178" t="e">
        <f>I211+I212+I213+I214+I210+I215+I216+I218+#REF!+I219+#REF!+I220+I222+I223+I224+I226+I225</f>
        <v>#REF!</v>
      </c>
      <c r="J209" s="178" t="e">
        <f>J211+J212+J213+J214+J210+J215+J216+J218+#REF!+J219+#REF!+J220+J222+J223+J224+J226+J225</f>
        <v>#REF!</v>
      </c>
      <c r="K209" s="178">
        <f>SUM(K210:K226)</f>
        <v>2150273</v>
      </c>
      <c r="L209" s="178">
        <f>SUM(L210:L226)</f>
        <v>29676</v>
      </c>
      <c r="M209" s="178">
        <f>SUM(M210:M226)</f>
        <v>10120</v>
      </c>
      <c r="N209" s="178">
        <f t="shared" si="24"/>
        <v>2169829</v>
      </c>
      <c r="O209" s="178">
        <f>SUM(O210:O226)</f>
        <v>0</v>
      </c>
      <c r="P209" s="178">
        <f>SUM(P210:P226)</f>
        <v>2169829</v>
      </c>
      <c r="Q209" s="178">
        <f>SUM(Q210:Q226)</f>
        <v>0</v>
      </c>
    </row>
    <row r="210" spans="1:17" s="193" customFormat="1" ht="13.5" customHeight="1">
      <c r="A210" s="171"/>
      <c r="B210" s="36" t="s">
        <v>217</v>
      </c>
      <c r="C210" s="191" t="s">
        <v>372</v>
      </c>
      <c r="D210" s="191"/>
      <c r="E210" s="191"/>
      <c r="F210" s="191"/>
      <c r="G210" s="191"/>
      <c r="H210" s="191">
        <v>14208</v>
      </c>
      <c r="I210" s="191">
        <v>0</v>
      </c>
      <c r="J210" s="191">
        <v>0</v>
      </c>
      <c r="K210" s="191">
        <v>0</v>
      </c>
      <c r="L210" s="191">
        <v>9000</v>
      </c>
      <c r="M210" s="191"/>
      <c r="N210" s="37">
        <f t="shared" si="24"/>
        <v>9000</v>
      </c>
      <c r="O210" s="191">
        <v>0</v>
      </c>
      <c r="P210" s="172">
        <f aca="true" t="shared" si="31" ref="P210:P228">N210</f>
        <v>9000</v>
      </c>
      <c r="Q210" s="172">
        <v>0</v>
      </c>
    </row>
    <row r="211" spans="1:17" s="112" customFormat="1" ht="18" customHeight="1">
      <c r="A211" s="171"/>
      <c r="B211" s="36" t="s">
        <v>221</v>
      </c>
      <c r="C211" s="75" t="s">
        <v>258</v>
      </c>
      <c r="D211" s="37">
        <v>1980166</v>
      </c>
      <c r="E211" s="37">
        <v>1975260</v>
      </c>
      <c r="F211" s="37">
        <v>27891</v>
      </c>
      <c r="G211" s="37">
        <v>26283</v>
      </c>
      <c r="H211" s="37">
        <v>1137604</v>
      </c>
      <c r="I211" s="37">
        <v>0</v>
      </c>
      <c r="J211" s="37">
        <v>0</v>
      </c>
      <c r="K211" s="37">
        <v>1304557</v>
      </c>
      <c r="L211" s="37"/>
      <c r="M211" s="37"/>
      <c r="N211" s="37">
        <f t="shared" si="24"/>
        <v>1304557</v>
      </c>
      <c r="O211" s="37">
        <v>0</v>
      </c>
      <c r="P211" s="172">
        <f t="shared" si="31"/>
        <v>1304557</v>
      </c>
      <c r="Q211" s="172">
        <v>0</v>
      </c>
    </row>
    <row r="212" spans="1:17" s="112" customFormat="1" ht="14.25" customHeight="1">
      <c r="A212" s="171"/>
      <c r="B212" s="36" t="s">
        <v>225</v>
      </c>
      <c r="C212" s="75" t="s">
        <v>226</v>
      </c>
      <c r="D212" s="37">
        <v>123848</v>
      </c>
      <c r="E212" s="37">
        <v>159042</v>
      </c>
      <c r="F212" s="37">
        <v>0</v>
      </c>
      <c r="G212" s="37">
        <v>0</v>
      </c>
      <c r="H212" s="37">
        <v>76054</v>
      </c>
      <c r="I212" s="37">
        <v>0</v>
      </c>
      <c r="J212" s="37">
        <v>0</v>
      </c>
      <c r="K212" s="37">
        <v>114653</v>
      </c>
      <c r="L212" s="37"/>
      <c r="M212" s="37">
        <v>3726</v>
      </c>
      <c r="N212" s="37">
        <f t="shared" si="24"/>
        <v>110927</v>
      </c>
      <c r="O212" s="37">
        <v>0</v>
      </c>
      <c r="P212" s="172">
        <f t="shared" si="31"/>
        <v>110927</v>
      </c>
      <c r="Q212" s="172">
        <v>0</v>
      </c>
    </row>
    <row r="213" spans="1:17" s="112" customFormat="1" ht="15" customHeight="1">
      <c r="A213" s="171"/>
      <c r="B213" s="173" t="s">
        <v>290</v>
      </c>
      <c r="C213" s="75" t="s">
        <v>316</v>
      </c>
      <c r="D213" s="37">
        <v>414136</v>
      </c>
      <c r="E213" s="37">
        <v>370552</v>
      </c>
      <c r="F213" s="37">
        <v>2840</v>
      </c>
      <c r="G213" s="37">
        <v>2000</v>
      </c>
      <c r="H213" s="37">
        <v>214800</v>
      </c>
      <c r="I213" s="37">
        <v>0</v>
      </c>
      <c r="J213" s="37">
        <v>0</v>
      </c>
      <c r="K213" s="37">
        <v>222745</v>
      </c>
      <c r="L213" s="37"/>
      <c r="M213" s="37"/>
      <c r="N213" s="37">
        <f t="shared" si="24"/>
        <v>222745</v>
      </c>
      <c r="O213" s="37">
        <v>0</v>
      </c>
      <c r="P213" s="172">
        <f t="shared" si="31"/>
        <v>222745</v>
      </c>
      <c r="Q213" s="172">
        <v>0</v>
      </c>
    </row>
    <row r="214" spans="1:17" s="112" customFormat="1" ht="16.5" customHeight="1">
      <c r="A214" s="171"/>
      <c r="B214" s="173" t="s">
        <v>229</v>
      </c>
      <c r="C214" s="75" t="s">
        <v>230</v>
      </c>
      <c r="D214" s="37"/>
      <c r="E214" s="37">
        <v>50795</v>
      </c>
      <c r="F214" s="37">
        <v>390</v>
      </c>
      <c r="G214" s="37">
        <v>165</v>
      </c>
      <c r="H214" s="37">
        <v>29560</v>
      </c>
      <c r="I214" s="37">
        <v>0</v>
      </c>
      <c r="J214" s="37">
        <v>0</v>
      </c>
      <c r="K214" s="37">
        <v>30143</v>
      </c>
      <c r="L214" s="37"/>
      <c r="M214" s="37"/>
      <c r="N214" s="37">
        <f t="shared" si="24"/>
        <v>30143</v>
      </c>
      <c r="O214" s="37">
        <v>0</v>
      </c>
      <c r="P214" s="172">
        <f t="shared" si="31"/>
        <v>30143</v>
      </c>
      <c r="Q214" s="172">
        <v>0</v>
      </c>
    </row>
    <row r="215" spans="1:17" s="112" customFormat="1" ht="15.75" customHeight="1">
      <c r="A215" s="171"/>
      <c r="B215" s="36" t="s">
        <v>373</v>
      </c>
      <c r="C215" s="37" t="s">
        <v>374</v>
      </c>
      <c r="D215" s="37"/>
      <c r="E215" s="37">
        <v>8110</v>
      </c>
      <c r="F215" s="37">
        <v>0</v>
      </c>
      <c r="G215" s="37">
        <v>0</v>
      </c>
      <c r="H215" s="37">
        <v>300</v>
      </c>
      <c r="I215" s="37">
        <v>0</v>
      </c>
      <c r="J215" s="37">
        <v>0</v>
      </c>
      <c r="K215" s="37">
        <v>5700</v>
      </c>
      <c r="L215" s="37"/>
      <c r="M215" s="37"/>
      <c r="N215" s="37">
        <f t="shared" si="24"/>
        <v>5700</v>
      </c>
      <c r="O215" s="37">
        <v>0</v>
      </c>
      <c r="P215" s="172">
        <f t="shared" si="31"/>
        <v>5700</v>
      </c>
      <c r="Q215" s="172">
        <v>0</v>
      </c>
    </row>
    <row r="216" spans="1:17" s="112" customFormat="1" ht="15" customHeight="1">
      <c r="A216" s="171"/>
      <c r="B216" s="35">
        <v>4210</v>
      </c>
      <c r="C216" s="37" t="s">
        <v>263</v>
      </c>
      <c r="D216" s="37" t="e">
        <f>#REF!+#REF!</f>
        <v>#REF!</v>
      </c>
      <c r="E216" s="49">
        <v>110063</v>
      </c>
      <c r="F216" s="49">
        <v>262</v>
      </c>
      <c r="G216" s="49">
        <v>0</v>
      </c>
      <c r="H216" s="37">
        <v>94500</v>
      </c>
      <c r="I216" s="37">
        <v>0</v>
      </c>
      <c r="J216" s="37">
        <v>0</v>
      </c>
      <c r="K216" s="37">
        <v>90000</v>
      </c>
      <c r="L216" s="37"/>
      <c r="M216" s="37">
        <v>6394</v>
      </c>
      <c r="N216" s="37">
        <f t="shared" si="24"/>
        <v>83606</v>
      </c>
      <c r="O216" s="37">
        <v>0</v>
      </c>
      <c r="P216" s="172">
        <f t="shared" si="31"/>
        <v>83606</v>
      </c>
      <c r="Q216" s="172">
        <v>0</v>
      </c>
    </row>
    <row r="217" spans="1:17" s="112" customFormat="1" ht="15" customHeight="1">
      <c r="A217" s="171"/>
      <c r="B217" s="35">
        <v>4170</v>
      </c>
      <c r="C217" s="37" t="s">
        <v>277</v>
      </c>
      <c r="D217" s="37"/>
      <c r="E217" s="49"/>
      <c r="F217" s="49"/>
      <c r="G217" s="49"/>
      <c r="H217" s="37"/>
      <c r="I217" s="37"/>
      <c r="J217" s="37"/>
      <c r="K217" s="37">
        <v>1000</v>
      </c>
      <c r="L217" s="37"/>
      <c r="M217" s="37"/>
      <c r="N217" s="37">
        <f t="shared" si="24"/>
        <v>1000</v>
      </c>
      <c r="O217" s="37"/>
      <c r="P217" s="172">
        <f t="shared" si="31"/>
        <v>1000</v>
      </c>
      <c r="Q217" s="172"/>
    </row>
    <row r="218" spans="1:17" s="112" customFormat="1" ht="15" customHeight="1">
      <c r="A218" s="171"/>
      <c r="B218" s="35">
        <v>4240</v>
      </c>
      <c r="C218" s="37" t="s">
        <v>375</v>
      </c>
      <c r="D218" s="37"/>
      <c r="E218" s="49"/>
      <c r="F218" s="49"/>
      <c r="G218" s="49"/>
      <c r="H218" s="37">
        <v>3000</v>
      </c>
      <c r="I218" s="37">
        <v>0</v>
      </c>
      <c r="J218" s="37">
        <v>0</v>
      </c>
      <c r="K218" s="37">
        <v>1850</v>
      </c>
      <c r="L218" s="37">
        <v>1000</v>
      </c>
      <c r="M218" s="37"/>
      <c r="N218" s="37">
        <f t="shared" si="24"/>
        <v>2850</v>
      </c>
      <c r="O218" s="37">
        <v>0</v>
      </c>
      <c r="P218" s="172">
        <f t="shared" si="31"/>
        <v>2850</v>
      </c>
      <c r="Q218" s="172">
        <v>0</v>
      </c>
    </row>
    <row r="219" spans="1:17" s="112" customFormat="1" ht="15.75" customHeight="1">
      <c r="A219" s="171"/>
      <c r="B219" s="36" t="s">
        <v>233</v>
      </c>
      <c r="C219" s="37" t="s">
        <v>291</v>
      </c>
      <c r="D219" s="37"/>
      <c r="E219" s="37">
        <v>137000</v>
      </c>
      <c r="F219" s="37">
        <v>8000</v>
      </c>
      <c r="G219" s="37">
        <v>0</v>
      </c>
      <c r="H219" s="37">
        <v>38000</v>
      </c>
      <c r="I219" s="37">
        <v>0</v>
      </c>
      <c r="J219" s="37">
        <v>0</v>
      </c>
      <c r="K219" s="37">
        <v>31800</v>
      </c>
      <c r="L219" s="37"/>
      <c r="M219" s="37"/>
      <c r="N219" s="37">
        <f t="shared" si="24"/>
        <v>31800</v>
      </c>
      <c r="O219" s="37">
        <v>0</v>
      </c>
      <c r="P219" s="172">
        <f t="shared" si="31"/>
        <v>31800</v>
      </c>
      <c r="Q219" s="172">
        <v>0</v>
      </c>
    </row>
    <row r="220" spans="1:17" s="112" customFormat="1" ht="16.5" customHeight="1">
      <c r="A220" s="171"/>
      <c r="B220" s="36" t="s">
        <v>237</v>
      </c>
      <c r="C220" s="37" t="s">
        <v>238</v>
      </c>
      <c r="D220" s="37"/>
      <c r="E220" s="37">
        <v>58100</v>
      </c>
      <c r="F220" s="37">
        <v>0</v>
      </c>
      <c r="G220" s="37">
        <v>4500</v>
      </c>
      <c r="H220" s="37">
        <v>30000</v>
      </c>
      <c r="I220" s="37">
        <v>0</v>
      </c>
      <c r="J220" s="37">
        <v>0</v>
      </c>
      <c r="K220" s="37">
        <v>30588</v>
      </c>
      <c r="L220" s="37">
        <v>0</v>
      </c>
      <c r="M220" s="37"/>
      <c r="N220" s="37">
        <f aca="true" t="shared" si="32" ref="N220:N283">K220+L220-M220</f>
        <v>30588</v>
      </c>
      <c r="O220" s="37">
        <v>0</v>
      </c>
      <c r="P220" s="172">
        <f t="shared" si="31"/>
        <v>30588</v>
      </c>
      <c r="Q220" s="172">
        <v>0</v>
      </c>
    </row>
    <row r="221" spans="1:17" s="112" customFormat="1" ht="16.5" customHeight="1">
      <c r="A221" s="171"/>
      <c r="B221" s="36" t="s">
        <v>264</v>
      </c>
      <c r="C221" s="37" t="s">
        <v>265</v>
      </c>
      <c r="D221" s="37"/>
      <c r="E221" s="37"/>
      <c r="F221" s="37"/>
      <c r="G221" s="37"/>
      <c r="H221" s="37"/>
      <c r="I221" s="37"/>
      <c r="J221" s="37"/>
      <c r="K221" s="37">
        <v>4200</v>
      </c>
      <c r="L221" s="37"/>
      <c r="M221" s="37"/>
      <c r="N221" s="37">
        <f t="shared" si="32"/>
        <v>4200</v>
      </c>
      <c r="O221" s="37"/>
      <c r="P221" s="172">
        <f t="shared" si="31"/>
        <v>4200</v>
      </c>
      <c r="Q221" s="172"/>
    </row>
    <row r="222" spans="1:17" s="112" customFormat="1" ht="17.25" customHeight="1">
      <c r="A222" s="171"/>
      <c r="B222" s="36" t="s">
        <v>239</v>
      </c>
      <c r="C222" s="37" t="s">
        <v>240</v>
      </c>
      <c r="D222" s="37"/>
      <c r="E222" s="37">
        <v>7500</v>
      </c>
      <c r="F222" s="37">
        <v>1200</v>
      </c>
      <c r="G222" s="37">
        <v>0</v>
      </c>
      <c r="H222" s="37">
        <v>3500</v>
      </c>
      <c r="I222" s="37">
        <v>0</v>
      </c>
      <c r="J222" s="37">
        <v>0</v>
      </c>
      <c r="K222" s="37">
        <v>3900</v>
      </c>
      <c r="L222" s="37"/>
      <c r="M222" s="37"/>
      <c r="N222" s="37">
        <f t="shared" si="32"/>
        <v>3900</v>
      </c>
      <c r="O222" s="37">
        <v>0</v>
      </c>
      <c r="P222" s="172">
        <f t="shared" si="31"/>
        <v>3900</v>
      </c>
      <c r="Q222" s="172">
        <v>0</v>
      </c>
    </row>
    <row r="223" spans="1:17" s="112" customFormat="1" ht="14.25" customHeight="1">
      <c r="A223" s="171"/>
      <c r="B223" s="36" t="s">
        <v>241</v>
      </c>
      <c r="C223" s="37" t="s">
        <v>242</v>
      </c>
      <c r="D223" s="37"/>
      <c r="E223" s="37">
        <v>873</v>
      </c>
      <c r="F223" s="37">
        <v>1000</v>
      </c>
      <c r="G223" s="37">
        <v>0</v>
      </c>
      <c r="H223" s="37">
        <v>2600</v>
      </c>
      <c r="I223" s="37">
        <v>0</v>
      </c>
      <c r="J223" s="37">
        <v>0</v>
      </c>
      <c r="K223" s="37">
        <v>0</v>
      </c>
      <c r="L223" s="37"/>
      <c r="M223" s="37"/>
      <c r="N223" s="37">
        <f t="shared" si="32"/>
        <v>0</v>
      </c>
      <c r="O223" s="37">
        <v>0</v>
      </c>
      <c r="P223" s="172">
        <f t="shared" si="31"/>
        <v>0</v>
      </c>
      <c r="Q223" s="172">
        <v>0</v>
      </c>
    </row>
    <row r="224" spans="1:17" s="112" customFormat="1" ht="15.75" customHeight="1">
      <c r="A224" s="171"/>
      <c r="B224" s="36" t="s">
        <v>243</v>
      </c>
      <c r="C224" s="37" t="s">
        <v>244</v>
      </c>
      <c r="D224" s="37"/>
      <c r="E224" s="37">
        <v>126309</v>
      </c>
      <c r="F224" s="37">
        <v>0</v>
      </c>
      <c r="G224" s="37">
        <v>700</v>
      </c>
      <c r="H224" s="37">
        <v>60789</v>
      </c>
      <c r="I224" s="37">
        <v>0</v>
      </c>
      <c r="J224" s="37">
        <v>0</v>
      </c>
      <c r="K224" s="37">
        <v>68190</v>
      </c>
      <c r="L224" s="37"/>
      <c r="M224" s="37"/>
      <c r="N224" s="37">
        <f t="shared" si="32"/>
        <v>68190</v>
      </c>
      <c r="O224" s="37">
        <v>0</v>
      </c>
      <c r="P224" s="172">
        <f t="shared" si="31"/>
        <v>68190</v>
      </c>
      <c r="Q224" s="172">
        <v>0</v>
      </c>
    </row>
    <row r="225" spans="1:17" s="112" customFormat="1" ht="14.25" customHeight="1">
      <c r="A225" s="171"/>
      <c r="B225" s="36" t="s">
        <v>266</v>
      </c>
      <c r="C225" s="37" t="s">
        <v>267</v>
      </c>
      <c r="D225" s="37"/>
      <c r="E225" s="37"/>
      <c r="F225" s="37"/>
      <c r="G225" s="37"/>
      <c r="H225" s="37">
        <v>1021</v>
      </c>
      <c r="I225" s="37">
        <v>0</v>
      </c>
      <c r="J225" s="37">
        <v>0</v>
      </c>
      <c r="K225" s="37">
        <v>1100</v>
      </c>
      <c r="L225" s="37">
        <v>120</v>
      </c>
      <c r="M225" s="37"/>
      <c r="N225" s="37">
        <f t="shared" si="32"/>
        <v>1220</v>
      </c>
      <c r="O225" s="37">
        <v>0</v>
      </c>
      <c r="P225" s="172">
        <f t="shared" si="31"/>
        <v>1220</v>
      </c>
      <c r="Q225" s="172">
        <v>0</v>
      </c>
    </row>
    <row r="226" spans="1:17" s="112" customFormat="1" ht="15" customHeight="1">
      <c r="A226" s="171"/>
      <c r="B226" s="36" t="s">
        <v>364</v>
      </c>
      <c r="C226" s="87" t="s">
        <v>376</v>
      </c>
      <c r="D226" s="37"/>
      <c r="E226" s="37" t="e">
        <f>E227+#REF!</f>
        <v>#REF!</v>
      </c>
      <c r="F226" s="37" t="e">
        <f>F227+#REF!</f>
        <v>#REF!</v>
      </c>
      <c r="G226" s="37" t="e">
        <f>G227+#REF!</f>
        <v>#REF!</v>
      </c>
      <c r="H226" s="37" t="e">
        <f>H227+#REF!+H228</f>
        <v>#REF!</v>
      </c>
      <c r="I226" s="37">
        <v>0</v>
      </c>
      <c r="J226" s="37">
        <v>0</v>
      </c>
      <c r="K226" s="37">
        <f>K227+K228</f>
        <v>239847</v>
      </c>
      <c r="L226" s="37">
        <f>L227+L228</f>
        <v>19556</v>
      </c>
      <c r="M226" s="37">
        <f>M227+M228</f>
        <v>0</v>
      </c>
      <c r="N226" s="37">
        <f t="shared" si="32"/>
        <v>259403</v>
      </c>
      <c r="O226" s="37">
        <v>0</v>
      </c>
      <c r="P226" s="172">
        <f t="shared" si="31"/>
        <v>259403</v>
      </c>
      <c r="Q226" s="172">
        <v>0</v>
      </c>
    </row>
    <row r="227" spans="1:17" s="112" customFormat="1" ht="13.5" customHeight="1">
      <c r="A227" s="171"/>
      <c r="B227" s="36"/>
      <c r="C227" s="37" t="s">
        <v>377</v>
      </c>
      <c r="D227" s="37"/>
      <c r="E227" s="37">
        <v>246759</v>
      </c>
      <c r="F227" s="37">
        <v>0</v>
      </c>
      <c r="G227" s="37">
        <v>72750</v>
      </c>
      <c r="H227" s="37">
        <v>62124</v>
      </c>
      <c r="I227" s="37">
        <v>0</v>
      </c>
      <c r="J227" s="37">
        <v>0</v>
      </c>
      <c r="K227" s="37">
        <v>48687</v>
      </c>
      <c r="L227" s="37">
        <v>12055</v>
      </c>
      <c r="M227" s="37"/>
      <c r="N227" s="37">
        <f t="shared" si="32"/>
        <v>60742</v>
      </c>
      <c r="O227" s="37">
        <v>0</v>
      </c>
      <c r="P227" s="172">
        <f t="shared" si="31"/>
        <v>60742</v>
      </c>
      <c r="Q227" s="172">
        <v>0</v>
      </c>
    </row>
    <row r="228" spans="1:17" s="112" customFormat="1" ht="13.5" customHeight="1">
      <c r="A228" s="171"/>
      <c r="B228" s="37"/>
      <c r="C228" s="37" t="s">
        <v>378</v>
      </c>
      <c r="D228" s="37"/>
      <c r="E228" s="37"/>
      <c r="F228" s="37"/>
      <c r="G228" s="37"/>
      <c r="H228" s="37">
        <v>171443</v>
      </c>
      <c r="I228" s="37">
        <v>0</v>
      </c>
      <c r="J228" s="37">
        <v>0</v>
      </c>
      <c r="K228" s="37">
        <v>191160</v>
      </c>
      <c r="L228" s="37">
        <v>7501</v>
      </c>
      <c r="M228" s="37"/>
      <c r="N228" s="37">
        <f t="shared" si="32"/>
        <v>198661</v>
      </c>
      <c r="O228" s="37">
        <v>0</v>
      </c>
      <c r="P228" s="172">
        <f t="shared" si="31"/>
        <v>198661</v>
      </c>
      <c r="Q228" s="172">
        <v>0</v>
      </c>
    </row>
    <row r="229" spans="1:17" s="112" customFormat="1" ht="18.75" customHeight="1">
      <c r="A229" s="175" t="s">
        <v>379</v>
      </c>
      <c r="B229" s="178"/>
      <c r="C229" s="178" t="s">
        <v>380</v>
      </c>
      <c r="D229" s="178"/>
      <c r="E229" s="178"/>
      <c r="F229" s="178"/>
      <c r="G229" s="178"/>
      <c r="H229" s="178" t="e">
        <f>H230+H232+H233+H234+H235+H236+H237+#REF!</f>
        <v>#REF!</v>
      </c>
      <c r="I229" s="178" t="e">
        <f>I230+I232+I233+I234+I235+I236+I237+#REF!</f>
        <v>#REF!</v>
      </c>
      <c r="J229" s="178" t="e">
        <f>J230+J232+J233+J234+J235+J236+J237+#REF!</f>
        <v>#REF!</v>
      </c>
      <c r="K229" s="178">
        <f>SUM(K230:K237)</f>
        <v>966176</v>
      </c>
      <c r="L229" s="178">
        <f>SUM(L230:L237)</f>
        <v>105</v>
      </c>
      <c r="M229" s="178">
        <f>SUM(M230:M237)</f>
        <v>105</v>
      </c>
      <c r="N229" s="178">
        <f t="shared" si="32"/>
        <v>966176</v>
      </c>
      <c r="O229" s="178">
        <f>O230+O232+O233+O234+O235+O236+O237+O231</f>
        <v>0</v>
      </c>
      <c r="P229" s="178">
        <f>P230+P232+P233+P234+P235+P236+P237+P231</f>
        <v>966176</v>
      </c>
      <c r="Q229" s="178">
        <f>Q230+Q232+Q233+Q234+Q235+Q236+Q237+Q231</f>
        <v>0</v>
      </c>
    </row>
    <row r="230" spans="1:17" s="112" customFormat="1" ht="13.5" customHeight="1">
      <c r="A230" s="171"/>
      <c r="B230" s="37">
        <v>4010</v>
      </c>
      <c r="C230" s="75" t="s">
        <v>258</v>
      </c>
      <c r="D230" s="37"/>
      <c r="E230" s="37"/>
      <c r="F230" s="37"/>
      <c r="G230" s="37"/>
      <c r="H230" s="37">
        <v>322855</v>
      </c>
      <c r="I230" s="37">
        <v>0</v>
      </c>
      <c r="J230" s="37">
        <v>0</v>
      </c>
      <c r="K230" s="37">
        <v>686900</v>
      </c>
      <c r="L230" s="37">
        <v>105</v>
      </c>
      <c r="M230" s="37"/>
      <c r="N230" s="37">
        <f t="shared" si="32"/>
        <v>687005</v>
      </c>
      <c r="O230" s="37">
        <v>0</v>
      </c>
      <c r="P230" s="172">
        <f aca="true" t="shared" si="33" ref="P230:P237">N230</f>
        <v>687005</v>
      </c>
      <c r="Q230" s="172">
        <v>0</v>
      </c>
    </row>
    <row r="231" spans="1:17" s="112" customFormat="1" ht="13.5" customHeight="1">
      <c r="A231" s="171"/>
      <c r="B231" s="37">
        <v>4040</v>
      </c>
      <c r="C231" s="75" t="s">
        <v>226</v>
      </c>
      <c r="D231" s="37"/>
      <c r="E231" s="37"/>
      <c r="F231" s="37"/>
      <c r="G231" s="37"/>
      <c r="H231" s="37"/>
      <c r="I231" s="37"/>
      <c r="J231" s="37"/>
      <c r="K231" s="37">
        <v>54345</v>
      </c>
      <c r="L231" s="37"/>
      <c r="M231" s="37">
        <v>105</v>
      </c>
      <c r="N231" s="37">
        <f t="shared" si="32"/>
        <v>54240</v>
      </c>
      <c r="O231" s="37">
        <v>0</v>
      </c>
      <c r="P231" s="172">
        <f t="shared" si="33"/>
        <v>54240</v>
      </c>
      <c r="Q231" s="172">
        <v>0</v>
      </c>
    </row>
    <row r="232" spans="1:17" s="112" customFormat="1" ht="13.5" customHeight="1">
      <c r="A232" s="171"/>
      <c r="B232" s="37">
        <v>4110</v>
      </c>
      <c r="C232" s="75" t="s">
        <v>316</v>
      </c>
      <c r="D232" s="37"/>
      <c r="E232" s="37"/>
      <c r="F232" s="37"/>
      <c r="G232" s="37"/>
      <c r="H232" s="37">
        <v>58061</v>
      </c>
      <c r="I232" s="37">
        <v>0</v>
      </c>
      <c r="J232" s="37">
        <v>0</v>
      </c>
      <c r="K232" s="37">
        <v>130202</v>
      </c>
      <c r="L232" s="37"/>
      <c r="M232" s="37"/>
      <c r="N232" s="37">
        <f t="shared" si="32"/>
        <v>130202</v>
      </c>
      <c r="O232" s="37">
        <v>0</v>
      </c>
      <c r="P232" s="172">
        <f t="shared" si="33"/>
        <v>130202</v>
      </c>
      <c r="Q232" s="172">
        <v>0</v>
      </c>
    </row>
    <row r="233" spans="1:17" s="112" customFormat="1" ht="13.5" customHeight="1">
      <c r="A233" s="171"/>
      <c r="B233" s="37">
        <v>4120</v>
      </c>
      <c r="C233" s="75" t="s">
        <v>230</v>
      </c>
      <c r="D233" s="37"/>
      <c r="E233" s="37"/>
      <c r="F233" s="37"/>
      <c r="G233" s="37"/>
      <c r="H233" s="37">
        <v>7696</v>
      </c>
      <c r="I233" s="37">
        <v>0</v>
      </c>
      <c r="J233" s="37">
        <v>0</v>
      </c>
      <c r="K233" s="37">
        <v>17732</v>
      </c>
      <c r="L233" s="37"/>
      <c r="M233" s="37"/>
      <c r="N233" s="37">
        <f t="shared" si="32"/>
        <v>17732</v>
      </c>
      <c r="O233" s="37">
        <v>0</v>
      </c>
      <c r="P233" s="172">
        <f t="shared" si="33"/>
        <v>17732</v>
      </c>
      <c r="Q233" s="172">
        <v>0</v>
      </c>
    </row>
    <row r="234" spans="1:17" s="112" customFormat="1" ht="13.5" customHeight="1">
      <c r="A234" s="171"/>
      <c r="B234" s="37">
        <v>4210</v>
      </c>
      <c r="C234" s="37" t="s">
        <v>263</v>
      </c>
      <c r="D234" s="37"/>
      <c r="E234" s="37"/>
      <c r="F234" s="37"/>
      <c r="G234" s="37"/>
      <c r="H234" s="37">
        <v>44979</v>
      </c>
      <c r="I234" s="37">
        <v>0</v>
      </c>
      <c r="J234" s="37">
        <v>0</v>
      </c>
      <c r="K234" s="37">
        <v>2040</v>
      </c>
      <c r="L234" s="37"/>
      <c r="M234" s="37"/>
      <c r="N234" s="37">
        <f t="shared" si="32"/>
        <v>2040</v>
      </c>
      <c r="O234" s="37">
        <v>0</v>
      </c>
      <c r="P234" s="172">
        <f t="shared" si="33"/>
        <v>2040</v>
      </c>
      <c r="Q234" s="172">
        <v>0</v>
      </c>
    </row>
    <row r="235" spans="1:17" s="112" customFormat="1" ht="13.5" customHeight="1">
      <c r="A235" s="171"/>
      <c r="B235" s="37">
        <v>4260</v>
      </c>
      <c r="C235" s="37" t="s">
        <v>291</v>
      </c>
      <c r="D235" s="37"/>
      <c r="E235" s="37"/>
      <c r="F235" s="37"/>
      <c r="G235" s="37"/>
      <c r="H235" s="37">
        <v>12000</v>
      </c>
      <c r="I235" s="37">
        <v>0</v>
      </c>
      <c r="J235" s="37">
        <v>0</v>
      </c>
      <c r="K235" s="37">
        <v>17200</v>
      </c>
      <c r="L235" s="37"/>
      <c r="M235" s="37"/>
      <c r="N235" s="37">
        <f t="shared" si="32"/>
        <v>17200</v>
      </c>
      <c r="O235" s="37">
        <v>0</v>
      </c>
      <c r="P235" s="172">
        <f t="shared" si="33"/>
        <v>17200</v>
      </c>
      <c r="Q235" s="172">
        <v>0</v>
      </c>
    </row>
    <row r="236" spans="1:17" s="112" customFormat="1" ht="13.5" customHeight="1">
      <c r="A236" s="171"/>
      <c r="B236" s="37">
        <v>4300</v>
      </c>
      <c r="C236" s="37" t="s">
        <v>238</v>
      </c>
      <c r="D236" s="37"/>
      <c r="E236" s="37"/>
      <c r="F236" s="37"/>
      <c r="G236" s="37"/>
      <c r="H236" s="37">
        <v>4664</v>
      </c>
      <c r="I236" s="37">
        <v>0</v>
      </c>
      <c r="J236" s="37">
        <v>0</v>
      </c>
      <c r="K236" s="37">
        <v>10600</v>
      </c>
      <c r="L236" s="37"/>
      <c r="M236" s="37"/>
      <c r="N236" s="37">
        <f t="shared" si="32"/>
        <v>10600</v>
      </c>
      <c r="O236" s="37">
        <v>0</v>
      </c>
      <c r="P236" s="172">
        <f t="shared" si="33"/>
        <v>10600</v>
      </c>
      <c r="Q236" s="172">
        <v>0</v>
      </c>
    </row>
    <row r="237" spans="1:17" s="112" customFormat="1" ht="13.5" customHeight="1">
      <c r="A237" s="171"/>
      <c r="B237" s="37">
        <v>4440</v>
      </c>
      <c r="C237" s="37" t="s">
        <v>244</v>
      </c>
      <c r="D237" s="37"/>
      <c r="E237" s="37"/>
      <c r="F237" s="37"/>
      <c r="G237" s="37"/>
      <c r="H237" s="37">
        <v>15378</v>
      </c>
      <c r="I237" s="37">
        <v>0</v>
      </c>
      <c r="J237" s="37">
        <v>0</v>
      </c>
      <c r="K237" s="37">
        <v>47157</v>
      </c>
      <c r="L237" s="37"/>
      <c r="M237" s="37"/>
      <c r="N237" s="37">
        <f t="shared" si="32"/>
        <v>47157</v>
      </c>
      <c r="O237" s="37">
        <v>0</v>
      </c>
      <c r="P237" s="172">
        <f t="shared" si="33"/>
        <v>47157</v>
      </c>
      <c r="Q237" s="172">
        <v>0</v>
      </c>
    </row>
    <row r="238" spans="1:17" s="112" customFormat="1" ht="18.75" customHeight="1">
      <c r="A238" s="175" t="s">
        <v>127</v>
      </c>
      <c r="B238" s="176"/>
      <c r="C238" s="178" t="s">
        <v>126</v>
      </c>
      <c r="D238" s="178">
        <f>D240+D241+D242+D239</f>
        <v>1881934</v>
      </c>
      <c r="E238" s="178" t="e">
        <f>E240+E241+E242+E243+#REF!+E239+E246+E247+E248+E249+E251+E253+E255+E256+E260+E259</f>
        <v>#REF!</v>
      </c>
      <c r="F238" s="178" t="e">
        <f>F240+F241+F242+F243+#REF!+F239+F246+F247+F248+F249+F251+F253+F255+F256+F260+F259</f>
        <v>#REF!</v>
      </c>
      <c r="G238" s="178" t="e">
        <f>G240+G241+G242+G243+#REF!+G239+G246+G247+G248+G249+G251+G253+G255+G256+G260+G259</f>
        <v>#REF!</v>
      </c>
      <c r="H238" s="178" t="e">
        <f>H240+H241+H242+H243+#REF!+H239+H246+H247+H248+H249+H251+H253+H255+H256+H260+H259+H244+H257+#REF!+#REF!</f>
        <v>#REF!</v>
      </c>
      <c r="I238" s="178" t="e">
        <f>I240+I241+I242+I243+#REF!+I239+I246+I247+I248+I249+I251+I253+I255+I256+I260+I259+I244+I257+#REF!+#REF!</f>
        <v>#REF!</v>
      </c>
      <c r="J238" s="178" t="e">
        <f>J240+J241+J242+J243+#REF!+J239+J246+J247+J248+J249+J251+J253+J255+J256+J260+J259+J244+J257+#REF!+#REF!</f>
        <v>#REF!</v>
      </c>
      <c r="K238" s="178">
        <f>SUM(K239:K260)</f>
        <v>4532491</v>
      </c>
      <c r="L238" s="178">
        <f>SUM(L239:L260)</f>
        <v>20218</v>
      </c>
      <c r="M238" s="178">
        <f>SUM(M239:M260)</f>
        <v>6272</v>
      </c>
      <c r="N238" s="178">
        <f t="shared" si="32"/>
        <v>4546437</v>
      </c>
      <c r="O238" s="178">
        <f>SUM(O239:O260)</f>
        <v>0</v>
      </c>
      <c r="P238" s="178">
        <f>SUM(P239:P260)</f>
        <v>4546437</v>
      </c>
      <c r="Q238" s="178">
        <f>Q240+Q241+Q242+Q243+Q239+Q245+Q246+Q247+Q248+Q249+Q251+Q252+Q253+Q254+Q255+Q256+Q258+Q260+Q259+Q244+Q257</f>
        <v>0</v>
      </c>
    </row>
    <row r="239" spans="1:17" s="112" customFormat="1" ht="14.25" customHeight="1">
      <c r="A239" s="171"/>
      <c r="B239" s="36" t="s">
        <v>217</v>
      </c>
      <c r="C239" s="75" t="s">
        <v>381</v>
      </c>
      <c r="D239" s="37">
        <v>262062</v>
      </c>
      <c r="E239" s="37">
        <v>7439</v>
      </c>
      <c r="F239" s="37">
        <v>0</v>
      </c>
      <c r="G239" s="37">
        <v>0</v>
      </c>
      <c r="H239" s="37">
        <v>4872</v>
      </c>
      <c r="I239" s="37">
        <v>0</v>
      </c>
      <c r="J239" s="37">
        <v>0</v>
      </c>
      <c r="K239" s="37">
        <v>0</v>
      </c>
      <c r="L239" s="37">
        <v>2710</v>
      </c>
      <c r="M239" s="37"/>
      <c r="N239" s="37">
        <f t="shared" si="32"/>
        <v>2710</v>
      </c>
      <c r="O239" s="37">
        <v>0</v>
      </c>
      <c r="P239" s="172">
        <f aca="true" t="shared" si="34" ref="P239:P259">N239</f>
        <v>2710</v>
      </c>
      <c r="Q239" s="172">
        <v>0</v>
      </c>
    </row>
    <row r="240" spans="1:17" s="112" customFormat="1" ht="14.25" customHeight="1">
      <c r="A240" s="171"/>
      <c r="B240" s="36" t="s">
        <v>221</v>
      </c>
      <c r="C240" s="75" t="s">
        <v>258</v>
      </c>
      <c r="D240" s="37">
        <v>1306363</v>
      </c>
      <c r="E240" s="37">
        <v>2620120</v>
      </c>
      <c r="F240" s="37">
        <v>76198</v>
      </c>
      <c r="G240" s="37">
        <v>0</v>
      </c>
      <c r="H240" s="37">
        <v>2507234</v>
      </c>
      <c r="I240" s="37">
        <v>0</v>
      </c>
      <c r="J240" s="37">
        <v>0</v>
      </c>
      <c r="K240" s="37">
        <v>2696867</v>
      </c>
      <c r="L240" s="37"/>
      <c r="M240" s="37">
        <v>6272</v>
      </c>
      <c r="N240" s="37">
        <f t="shared" si="32"/>
        <v>2690595</v>
      </c>
      <c r="O240" s="37">
        <v>0</v>
      </c>
      <c r="P240" s="172">
        <f t="shared" si="34"/>
        <v>2690595</v>
      </c>
      <c r="Q240" s="172">
        <v>0</v>
      </c>
    </row>
    <row r="241" spans="1:17" s="112" customFormat="1" ht="14.25" customHeight="1">
      <c r="A241" s="171"/>
      <c r="B241" s="36" t="s">
        <v>225</v>
      </c>
      <c r="C241" s="75" t="s">
        <v>226</v>
      </c>
      <c r="D241" s="37">
        <v>74072</v>
      </c>
      <c r="E241" s="37">
        <v>90144</v>
      </c>
      <c r="F241" s="37">
        <v>0</v>
      </c>
      <c r="G241" s="37">
        <v>0</v>
      </c>
      <c r="H241" s="37">
        <v>229094</v>
      </c>
      <c r="I241" s="37">
        <v>0</v>
      </c>
      <c r="J241" s="37">
        <v>0</v>
      </c>
      <c r="K241" s="37">
        <v>229366</v>
      </c>
      <c r="L241" s="37">
        <v>3562</v>
      </c>
      <c r="M241" s="37"/>
      <c r="N241" s="37">
        <f t="shared" si="32"/>
        <v>232928</v>
      </c>
      <c r="O241" s="37">
        <v>0</v>
      </c>
      <c r="P241" s="172">
        <f t="shared" si="34"/>
        <v>232928</v>
      </c>
      <c r="Q241" s="172">
        <v>0</v>
      </c>
    </row>
    <row r="242" spans="1:17" s="112" customFormat="1" ht="12.75" customHeight="1">
      <c r="A242" s="171"/>
      <c r="B242" s="173" t="s">
        <v>290</v>
      </c>
      <c r="C242" s="75" t="s">
        <v>316</v>
      </c>
      <c r="D242" s="37">
        <v>239437</v>
      </c>
      <c r="E242" s="37">
        <v>480155</v>
      </c>
      <c r="F242" s="37">
        <v>6005</v>
      </c>
      <c r="G242" s="37">
        <v>0</v>
      </c>
      <c r="H242" s="37">
        <v>471989</v>
      </c>
      <c r="I242" s="37">
        <v>0</v>
      </c>
      <c r="J242" s="37">
        <v>0</v>
      </c>
      <c r="K242" s="37">
        <v>510820</v>
      </c>
      <c r="L242" s="37"/>
      <c r="M242" s="37"/>
      <c r="N242" s="37">
        <f t="shared" si="32"/>
        <v>510820</v>
      </c>
      <c r="O242" s="37">
        <v>0</v>
      </c>
      <c r="P242" s="172">
        <f t="shared" si="34"/>
        <v>510820</v>
      </c>
      <c r="Q242" s="172">
        <v>0</v>
      </c>
    </row>
    <row r="243" spans="1:17" s="112" customFormat="1" ht="15" customHeight="1">
      <c r="A243" s="171"/>
      <c r="B243" s="173" t="s">
        <v>229</v>
      </c>
      <c r="C243" s="75" t="s">
        <v>230</v>
      </c>
      <c r="D243" s="37"/>
      <c r="E243" s="37">
        <v>62713</v>
      </c>
      <c r="F243" s="37">
        <v>822</v>
      </c>
      <c r="G243" s="37">
        <v>0</v>
      </c>
      <c r="H243" s="37">
        <v>64920</v>
      </c>
      <c r="I243" s="37">
        <v>0</v>
      </c>
      <c r="J243" s="37">
        <v>0</v>
      </c>
      <c r="K243" s="37">
        <v>69612</v>
      </c>
      <c r="L243" s="37"/>
      <c r="M243" s="37"/>
      <c r="N243" s="37">
        <f t="shared" si="32"/>
        <v>69612</v>
      </c>
      <c r="O243" s="37">
        <v>0</v>
      </c>
      <c r="P243" s="172">
        <f t="shared" si="34"/>
        <v>69612</v>
      </c>
      <c r="Q243" s="172">
        <v>0</v>
      </c>
    </row>
    <row r="244" spans="1:17" s="112" customFormat="1" ht="14.25" customHeight="1">
      <c r="A244" s="171"/>
      <c r="B244" s="36" t="s">
        <v>373</v>
      </c>
      <c r="C244" s="75" t="s">
        <v>382</v>
      </c>
      <c r="D244" s="37"/>
      <c r="E244" s="37"/>
      <c r="F244" s="37"/>
      <c r="G244" s="37"/>
      <c r="H244" s="37">
        <v>8642</v>
      </c>
      <c r="I244" s="37">
        <v>0</v>
      </c>
      <c r="J244" s="37">
        <v>0</v>
      </c>
      <c r="K244" s="37">
        <v>6100</v>
      </c>
      <c r="L244" s="37"/>
      <c r="M244" s="37"/>
      <c r="N244" s="37">
        <f t="shared" si="32"/>
        <v>6100</v>
      </c>
      <c r="O244" s="37">
        <v>0</v>
      </c>
      <c r="P244" s="172">
        <f t="shared" si="34"/>
        <v>6100</v>
      </c>
      <c r="Q244" s="172">
        <v>0</v>
      </c>
    </row>
    <row r="245" spans="1:17" s="112" customFormat="1" ht="14.25" customHeight="1">
      <c r="A245" s="171"/>
      <c r="B245" s="36" t="s">
        <v>261</v>
      </c>
      <c r="C245" s="75" t="s">
        <v>262</v>
      </c>
      <c r="D245" s="37"/>
      <c r="E245" s="37"/>
      <c r="F245" s="37"/>
      <c r="G245" s="37"/>
      <c r="H245" s="37"/>
      <c r="I245" s="37"/>
      <c r="J245" s="37"/>
      <c r="K245" s="37">
        <v>9500</v>
      </c>
      <c r="L245" s="37"/>
      <c r="M245" s="37"/>
      <c r="N245" s="37">
        <f t="shared" si="32"/>
        <v>9500</v>
      </c>
      <c r="O245" s="37">
        <v>0</v>
      </c>
      <c r="P245" s="172">
        <f t="shared" si="34"/>
        <v>9500</v>
      </c>
      <c r="Q245" s="172">
        <v>0</v>
      </c>
    </row>
    <row r="246" spans="1:17" s="112" customFormat="1" ht="15" customHeight="1">
      <c r="A246" s="171"/>
      <c r="B246" s="36" t="s">
        <v>231</v>
      </c>
      <c r="C246" s="37" t="s">
        <v>263</v>
      </c>
      <c r="D246" s="37"/>
      <c r="E246" s="37">
        <v>262668</v>
      </c>
      <c r="F246" s="37">
        <v>7750</v>
      </c>
      <c r="G246" s="37">
        <v>0</v>
      </c>
      <c r="H246" s="37">
        <v>374867</v>
      </c>
      <c r="I246" s="37">
        <v>0</v>
      </c>
      <c r="J246" s="37">
        <v>0</v>
      </c>
      <c r="K246" s="37">
        <v>539362</v>
      </c>
      <c r="L246" s="37">
        <v>2537</v>
      </c>
      <c r="M246" s="37"/>
      <c r="N246" s="37">
        <f t="shared" si="32"/>
        <v>541899</v>
      </c>
      <c r="O246" s="37">
        <v>0</v>
      </c>
      <c r="P246" s="172">
        <f t="shared" si="34"/>
        <v>541899</v>
      </c>
      <c r="Q246" s="172">
        <v>0</v>
      </c>
    </row>
    <row r="247" spans="1:17" s="112" customFormat="1" ht="13.5" customHeight="1">
      <c r="A247" s="171"/>
      <c r="B247" s="36" t="s">
        <v>383</v>
      </c>
      <c r="C247" s="37" t="s">
        <v>375</v>
      </c>
      <c r="D247" s="37"/>
      <c r="E247" s="37">
        <v>5206</v>
      </c>
      <c r="F247" s="37">
        <v>0</v>
      </c>
      <c r="G247" s="37">
        <v>1000</v>
      </c>
      <c r="H247" s="37">
        <v>6041</v>
      </c>
      <c r="I247" s="37">
        <v>0</v>
      </c>
      <c r="J247" s="37">
        <v>0</v>
      </c>
      <c r="K247" s="37">
        <v>8200</v>
      </c>
      <c r="L247" s="37"/>
      <c r="M247" s="37"/>
      <c r="N247" s="37">
        <f t="shared" si="32"/>
        <v>8200</v>
      </c>
      <c r="O247" s="37">
        <v>0</v>
      </c>
      <c r="P247" s="172">
        <f t="shared" si="34"/>
        <v>8200</v>
      </c>
      <c r="Q247" s="172">
        <v>0</v>
      </c>
    </row>
    <row r="248" spans="1:17" s="112" customFormat="1" ht="14.25" customHeight="1">
      <c r="A248" s="171"/>
      <c r="B248" s="36" t="s">
        <v>233</v>
      </c>
      <c r="C248" s="37" t="s">
        <v>291</v>
      </c>
      <c r="D248" s="37"/>
      <c r="E248" s="37">
        <v>47707</v>
      </c>
      <c r="F248" s="37">
        <v>0</v>
      </c>
      <c r="G248" s="37">
        <v>3000</v>
      </c>
      <c r="H248" s="37">
        <v>88260</v>
      </c>
      <c r="I248" s="37">
        <v>0</v>
      </c>
      <c r="J248" s="37">
        <v>0</v>
      </c>
      <c r="K248" s="37">
        <v>65278</v>
      </c>
      <c r="L248" s="37"/>
      <c r="M248" s="37"/>
      <c r="N248" s="37">
        <f t="shared" si="32"/>
        <v>65278</v>
      </c>
      <c r="O248" s="37">
        <v>0</v>
      </c>
      <c r="P248" s="172">
        <f t="shared" si="34"/>
        <v>65278</v>
      </c>
      <c r="Q248" s="172">
        <v>0</v>
      </c>
    </row>
    <row r="249" spans="1:17" s="112" customFormat="1" ht="14.25" customHeight="1">
      <c r="A249" s="171"/>
      <c r="B249" s="36" t="s">
        <v>235</v>
      </c>
      <c r="C249" s="37" t="s">
        <v>278</v>
      </c>
      <c r="D249" s="37"/>
      <c r="E249" s="37">
        <v>55847</v>
      </c>
      <c r="F249" s="37">
        <v>0</v>
      </c>
      <c r="G249" s="37">
        <v>765</v>
      </c>
      <c r="H249" s="37">
        <v>241716</v>
      </c>
      <c r="I249" s="37">
        <v>0</v>
      </c>
      <c r="J249" s="37">
        <v>0</v>
      </c>
      <c r="K249" s="37">
        <v>0</v>
      </c>
      <c r="L249" s="37"/>
      <c r="M249" s="37"/>
      <c r="N249" s="37">
        <f t="shared" si="32"/>
        <v>0</v>
      </c>
      <c r="O249" s="37">
        <v>0</v>
      </c>
      <c r="P249" s="172">
        <f t="shared" si="34"/>
        <v>0</v>
      </c>
      <c r="Q249" s="172">
        <v>0</v>
      </c>
    </row>
    <row r="250" spans="1:17" s="112" customFormat="1" ht="14.25" customHeight="1">
      <c r="A250" s="171"/>
      <c r="B250" s="36" t="s">
        <v>338</v>
      </c>
      <c r="C250" s="37" t="s">
        <v>339</v>
      </c>
      <c r="D250" s="37"/>
      <c r="E250" s="37"/>
      <c r="F250" s="37"/>
      <c r="G250" s="37"/>
      <c r="H250" s="37"/>
      <c r="I250" s="37"/>
      <c r="J250" s="37"/>
      <c r="K250" s="37">
        <v>2625</v>
      </c>
      <c r="L250" s="37"/>
      <c r="M250" s="37"/>
      <c r="N250" s="37">
        <f t="shared" si="32"/>
        <v>2625</v>
      </c>
      <c r="O250" s="37"/>
      <c r="P250" s="172">
        <f t="shared" si="34"/>
        <v>2625</v>
      </c>
      <c r="Q250" s="172">
        <v>0</v>
      </c>
    </row>
    <row r="251" spans="1:17" s="112" customFormat="1" ht="14.25" customHeight="1">
      <c r="A251" s="171"/>
      <c r="B251" s="36" t="s">
        <v>237</v>
      </c>
      <c r="C251" s="37" t="s">
        <v>297</v>
      </c>
      <c r="D251" s="37"/>
      <c r="E251" s="37">
        <v>36614</v>
      </c>
      <c r="F251" s="37">
        <v>3715</v>
      </c>
      <c r="G251" s="37">
        <v>0</v>
      </c>
      <c r="H251" s="37">
        <v>96150</v>
      </c>
      <c r="I251" s="37">
        <v>0</v>
      </c>
      <c r="J251" s="37">
        <v>0</v>
      </c>
      <c r="K251" s="37">
        <v>110125</v>
      </c>
      <c r="L251" s="37"/>
      <c r="M251" s="37"/>
      <c r="N251" s="37">
        <f t="shared" si="32"/>
        <v>110125</v>
      </c>
      <c r="O251" s="37">
        <v>0</v>
      </c>
      <c r="P251" s="172">
        <f t="shared" si="34"/>
        <v>110125</v>
      </c>
      <c r="Q251" s="172">
        <v>0</v>
      </c>
    </row>
    <row r="252" spans="1:17" s="112" customFormat="1" ht="14.25" customHeight="1">
      <c r="A252" s="171"/>
      <c r="B252" s="36" t="s">
        <v>264</v>
      </c>
      <c r="C252" s="37" t="s">
        <v>265</v>
      </c>
      <c r="D252" s="37"/>
      <c r="E252" s="37"/>
      <c r="F252" s="37"/>
      <c r="G252" s="37"/>
      <c r="H252" s="37"/>
      <c r="I252" s="37"/>
      <c r="J252" s="37"/>
      <c r="K252" s="37">
        <v>5280</v>
      </c>
      <c r="L252" s="37"/>
      <c r="M252" s="37"/>
      <c r="N252" s="37">
        <f t="shared" si="32"/>
        <v>5280</v>
      </c>
      <c r="O252" s="37">
        <v>0</v>
      </c>
      <c r="P252" s="172">
        <f t="shared" si="34"/>
        <v>5280</v>
      </c>
      <c r="Q252" s="172">
        <v>0</v>
      </c>
    </row>
    <row r="253" spans="1:17" s="112" customFormat="1" ht="15" customHeight="1">
      <c r="A253" s="171"/>
      <c r="B253" s="36" t="s">
        <v>239</v>
      </c>
      <c r="C253" s="37" t="s">
        <v>240</v>
      </c>
      <c r="D253" s="37"/>
      <c r="E253" s="37">
        <v>3411</v>
      </c>
      <c r="F253" s="37">
        <v>0</v>
      </c>
      <c r="G253" s="37">
        <v>1800</v>
      </c>
      <c r="H253" s="37">
        <v>3500</v>
      </c>
      <c r="I253" s="37">
        <v>0</v>
      </c>
      <c r="J253" s="37">
        <v>0</v>
      </c>
      <c r="K253" s="37">
        <v>5500</v>
      </c>
      <c r="L253" s="37"/>
      <c r="M253" s="37"/>
      <c r="N253" s="37">
        <f t="shared" si="32"/>
        <v>5500</v>
      </c>
      <c r="O253" s="37">
        <v>0</v>
      </c>
      <c r="P253" s="172">
        <f t="shared" si="34"/>
        <v>5500</v>
      </c>
      <c r="Q253" s="172">
        <v>0</v>
      </c>
    </row>
    <row r="254" spans="1:17" s="112" customFormat="1" ht="13.5" customHeight="1">
      <c r="A254" s="171"/>
      <c r="B254" s="36" t="s">
        <v>304</v>
      </c>
      <c r="C254" s="37" t="s">
        <v>305</v>
      </c>
      <c r="D254" s="37"/>
      <c r="E254" s="37"/>
      <c r="F254" s="37"/>
      <c r="G254" s="37"/>
      <c r="H254" s="37"/>
      <c r="I254" s="37"/>
      <c r="J254" s="37"/>
      <c r="K254" s="37">
        <v>500</v>
      </c>
      <c r="L254" s="37"/>
      <c r="M254" s="37"/>
      <c r="N254" s="37">
        <f t="shared" si="32"/>
        <v>500</v>
      </c>
      <c r="O254" s="37">
        <v>0</v>
      </c>
      <c r="P254" s="172">
        <f t="shared" si="34"/>
        <v>500</v>
      </c>
      <c r="Q254" s="172">
        <v>0</v>
      </c>
    </row>
    <row r="255" spans="1:17" s="112" customFormat="1" ht="12" customHeight="1">
      <c r="A255" s="171"/>
      <c r="B255" s="36" t="s">
        <v>241</v>
      </c>
      <c r="C255" s="37" t="s">
        <v>242</v>
      </c>
      <c r="D255" s="37"/>
      <c r="E255" s="37">
        <v>5700</v>
      </c>
      <c r="F255" s="37">
        <v>0</v>
      </c>
      <c r="G255" s="37">
        <v>0</v>
      </c>
      <c r="H255" s="49">
        <v>5900</v>
      </c>
      <c r="I255" s="37">
        <v>0</v>
      </c>
      <c r="J255" s="37">
        <v>0</v>
      </c>
      <c r="K255" s="37">
        <v>0</v>
      </c>
      <c r="L255" s="37"/>
      <c r="M255" s="37"/>
      <c r="N255" s="37">
        <f t="shared" si="32"/>
        <v>0</v>
      </c>
      <c r="O255" s="37">
        <v>0</v>
      </c>
      <c r="P255" s="172">
        <f t="shared" si="34"/>
        <v>0</v>
      </c>
      <c r="Q255" s="172">
        <v>0</v>
      </c>
    </row>
    <row r="256" spans="1:17" s="112" customFormat="1" ht="15" customHeight="1">
      <c r="A256" s="171"/>
      <c r="B256" s="36" t="s">
        <v>243</v>
      </c>
      <c r="C256" s="37" t="s">
        <v>244</v>
      </c>
      <c r="D256" s="37"/>
      <c r="E256" s="37">
        <v>156652</v>
      </c>
      <c r="F256" s="37">
        <v>0</v>
      </c>
      <c r="G256" s="37">
        <v>1550</v>
      </c>
      <c r="H256" s="37">
        <v>123022</v>
      </c>
      <c r="I256" s="37">
        <v>0</v>
      </c>
      <c r="J256" s="37">
        <v>0</v>
      </c>
      <c r="K256" s="37">
        <v>165996</v>
      </c>
      <c r="L256" s="37"/>
      <c r="M256" s="37"/>
      <c r="N256" s="37">
        <f t="shared" si="32"/>
        <v>165996</v>
      </c>
      <c r="O256" s="37">
        <v>0</v>
      </c>
      <c r="P256" s="172">
        <f t="shared" si="34"/>
        <v>165996</v>
      </c>
      <c r="Q256" s="172">
        <v>0</v>
      </c>
    </row>
    <row r="257" spans="1:17" s="112" customFormat="1" ht="13.5" customHeight="1">
      <c r="A257" s="171"/>
      <c r="B257" s="36" t="s">
        <v>266</v>
      </c>
      <c r="C257" s="37" t="s">
        <v>267</v>
      </c>
      <c r="D257" s="37"/>
      <c r="E257" s="37"/>
      <c r="F257" s="37"/>
      <c r="G257" s="37"/>
      <c r="H257" s="37">
        <v>0</v>
      </c>
      <c r="I257" s="37">
        <v>0</v>
      </c>
      <c r="J257" s="37">
        <v>0</v>
      </c>
      <c r="K257" s="37">
        <v>150</v>
      </c>
      <c r="L257" s="37"/>
      <c r="M257" s="37"/>
      <c r="N257" s="37">
        <f t="shared" si="32"/>
        <v>150</v>
      </c>
      <c r="O257" s="37">
        <v>0</v>
      </c>
      <c r="P257" s="172">
        <f t="shared" si="34"/>
        <v>150</v>
      </c>
      <c r="Q257" s="172">
        <v>0</v>
      </c>
    </row>
    <row r="258" spans="1:17" s="112" customFormat="1" ht="13.5" customHeight="1">
      <c r="A258" s="171"/>
      <c r="B258" s="36" t="s">
        <v>310</v>
      </c>
      <c r="C258" s="37" t="s">
        <v>384</v>
      </c>
      <c r="D258" s="37"/>
      <c r="E258" s="37"/>
      <c r="F258" s="37"/>
      <c r="G258" s="37"/>
      <c r="H258" s="37"/>
      <c r="I258" s="37"/>
      <c r="J258" s="37"/>
      <c r="K258" s="37">
        <v>3710</v>
      </c>
      <c r="L258" s="37"/>
      <c r="M258" s="37"/>
      <c r="N258" s="37">
        <f t="shared" si="32"/>
        <v>3710</v>
      </c>
      <c r="O258" s="37">
        <v>0</v>
      </c>
      <c r="P258" s="172">
        <f t="shared" si="34"/>
        <v>3710</v>
      </c>
      <c r="Q258" s="172">
        <v>0</v>
      </c>
    </row>
    <row r="259" spans="1:17" s="112" customFormat="1" ht="15" customHeight="1">
      <c r="A259" s="171"/>
      <c r="B259" s="36" t="s">
        <v>268</v>
      </c>
      <c r="C259" s="75" t="s">
        <v>385</v>
      </c>
      <c r="D259" s="37"/>
      <c r="E259" s="37">
        <v>654061</v>
      </c>
      <c r="F259" s="37">
        <v>0</v>
      </c>
      <c r="G259" s="37">
        <v>0</v>
      </c>
      <c r="H259" s="37">
        <v>1886648</v>
      </c>
      <c r="I259" s="37">
        <v>0</v>
      </c>
      <c r="J259" s="37">
        <v>0</v>
      </c>
      <c r="K259" s="37">
        <v>0</v>
      </c>
      <c r="L259" s="37"/>
      <c r="M259" s="37"/>
      <c r="N259" s="37">
        <f t="shared" si="32"/>
        <v>0</v>
      </c>
      <c r="O259" s="37">
        <v>0</v>
      </c>
      <c r="P259" s="172">
        <f t="shared" si="34"/>
        <v>0</v>
      </c>
      <c r="Q259" s="172">
        <v>0</v>
      </c>
    </row>
    <row r="260" spans="1:17" s="112" customFormat="1" ht="17.25" customHeight="1">
      <c r="A260" s="171"/>
      <c r="B260" s="36" t="s">
        <v>364</v>
      </c>
      <c r="C260" s="87" t="s">
        <v>386</v>
      </c>
      <c r="D260" s="37">
        <v>0</v>
      </c>
      <c r="E260" s="37">
        <v>257318</v>
      </c>
      <c r="F260" s="37">
        <v>0</v>
      </c>
      <c r="G260" s="37">
        <v>74165</v>
      </c>
      <c r="H260" s="37" t="e">
        <f>H261+H262+#REF!</f>
        <v>#REF!</v>
      </c>
      <c r="I260" s="37">
        <v>0</v>
      </c>
      <c r="J260" s="37">
        <v>0</v>
      </c>
      <c r="K260" s="37">
        <f>K261+K262</f>
        <v>103500</v>
      </c>
      <c r="L260" s="37">
        <f>L261+L262</f>
        <v>11409</v>
      </c>
      <c r="M260" s="37">
        <f>M261+M262</f>
        <v>0</v>
      </c>
      <c r="N260" s="37">
        <f t="shared" si="32"/>
        <v>114909</v>
      </c>
      <c r="O260" s="37">
        <f>O261+O262</f>
        <v>0</v>
      </c>
      <c r="P260" s="37">
        <f>P261+P262</f>
        <v>114909</v>
      </c>
      <c r="Q260" s="37">
        <f>Q261+Q262</f>
        <v>0</v>
      </c>
    </row>
    <row r="261" spans="1:17" s="112" customFormat="1" ht="15.75" customHeight="1">
      <c r="A261" s="171"/>
      <c r="B261" s="36"/>
      <c r="C261" s="84" t="s">
        <v>377</v>
      </c>
      <c r="D261" s="37"/>
      <c r="E261" s="37"/>
      <c r="F261" s="37"/>
      <c r="G261" s="37"/>
      <c r="H261" s="37">
        <v>227897</v>
      </c>
      <c r="I261" s="37">
        <v>0</v>
      </c>
      <c r="J261" s="37">
        <v>0</v>
      </c>
      <c r="K261" s="37">
        <v>70380</v>
      </c>
      <c r="L261" s="37">
        <v>9534</v>
      </c>
      <c r="M261" s="37"/>
      <c r="N261" s="37">
        <f t="shared" si="32"/>
        <v>79914</v>
      </c>
      <c r="O261" s="37">
        <v>0</v>
      </c>
      <c r="P261" s="172">
        <f>N261</f>
        <v>79914</v>
      </c>
      <c r="Q261" s="172">
        <v>0</v>
      </c>
    </row>
    <row r="262" spans="1:17" s="112" customFormat="1" ht="20.25" customHeight="1">
      <c r="A262" s="171"/>
      <c r="B262" s="36"/>
      <c r="C262" s="84" t="s">
        <v>378</v>
      </c>
      <c r="D262" s="37"/>
      <c r="E262" s="37"/>
      <c r="F262" s="37"/>
      <c r="G262" s="37"/>
      <c r="H262" s="37">
        <v>98014</v>
      </c>
      <c r="I262" s="37">
        <v>0</v>
      </c>
      <c r="J262" s="37">
        <v>0</v>
      </c>
      <c r="K262" s="37">
        <v>33120</v>
      </c>
      <c r="L262" s="37">
        <v>1875</v>
      </c>
      <c r="M262" s="37"/>
      <c r="N262" s="37">
        <f t="shared" si="32"/>
        <v>34995</v>
      </c>
      <c r="O262" s="37">
        <v>0</v>
      </c>
      <c r="P262" s="172">
        <f>N262</f>
        <v>34995</v>
      </c>
      <c r="Q262" s="172">
        <v>0</v>
      </c>
    </row>
    <row r="263" spans="1:17" s="112" customFormat="1" ht="17.25" customHeight="1">
      <c r="A263" s="175" t="s">
        <v>387</v>
      </c>
      <c r="B263" s="187"/>
      <c r="C263" s="178" t="s">
        <v>388</v>
      </c>
      <c r="D263" s="178">
        <f>D264+D265+D266+D268</f>
        <v>181894</v>
      </c>
      <c r="E263" s="178">
        <f>E264+E265+E266+E267+E268+E271</f>
        <v>139815</v>
      </c>
      <c r="F263" s="178">
        <f>F264+F265+F266+F267+F268+F271</f>
        <v>0</v>
      </c>
      <c r="G263" s="178">
        <f>G264+G265+G266+G267+G268+G271</f>
        <v>0</v>
      </c>
      <c r="H263" s="178" t="e">
        <f>H264+H265+H266+H267+H268+H271+#REF!+H270</f>
        <v>#REF!</v>
      </c>
      <c r="I263" s="178" t="e">
        <f>I264+I265+I266+I267+I268+I271+#REF!+I270</f>
        <v>#REF!</v>
      </c>
      <c r="J263" s="178" t="e">
        <f>J264+J265+J266+J267+J268+J271+#REF!+J270</f>
        <v>#REF!</v>
      </c>
      <c r="K263" s="178">
        <f>K264+K265+K266+K267+K268+K271+K272+K270+K269</f>
        <v>716418</v>
      </c>
      <c r="L263" s="178">
        <f>L264+L265+L266+L267+L268+L271+L270+L269</f>
        <v>640</v>
      </c>
      <c r="M263" s="178">
        <f>M264+M265+M266+M267+M268+M271+M270+M269</f>
        <v>640</v>
      </c>
      <c r="N263" s="178">
        <f t="shared" si="32"/>
        <v>716418</v>
      </c>
      <c r="O263" s="178">
        <f>O264+O265+O266+O267+O268+O271+O270+O269</f>
        <v>0</v>
      </c>
      <c r="P263" s="178">
        <f>P264+P265+P266+P267+P268+P271+P270+P269+P272</f>
        <v>716418</v>
      </c>
      <c r="Q263" s="178">
        <f>Q264+Q265+Q266+Q267+Q268+Q271+Q270+Q269</f>
        <v>0</v>
      </c>
    </row>
    <row r="264" spans="1:17" s="112" customFormat="1" ht="12.75" customHeight="1">
      <c r="A264" s="174"/>
      <c r="B264" s="36" t="s">
        <v>221</v>
      </c>
      <c r="C264" s="75" t="s">
        <v>258</v>
      </c>
      <c r="D264" s="37">
        <v>134523</v>
      </c>
      <c r="E264" s="37">
        <v>97179</v>
      </c>
      <c r="F264" s="37">
        <v>0</v>
      </c>
      <c r="G264" s="37">
        <v>0</v>
      </c>
      <c r="H264" s="37">
        <v>148200</v>
      </c>
      <c r="I264" s="37">
        <v>0</v>
      </c>
      <c r="J264" s="37">
        <v>0</v>
      </c>
      <c r="K264" s="37">
        <v>408564</v>
      </c>
      <c r="L264" s="37">
        <v>640</v>
      </c>
      <c r="M264" s="37"/>
      <c r="N264" s="37">
        <f t="shared" si="32"/>
        <v>409204</v>
      </c>
      <c r="O264" s="37">
        <v>0</v>
      </c>
      <c r="P264" s="172">
        <f aca="true" t="shared" si="35" ref="P264:P272">N264</f>
        <v>409204</v>
      </c>
      <c r="Q264" s="172">
        <v>0</v>
      </c>
    </row>
    <row r="265" spans="1:17" s="112" customFormat="1" ht="13.5" customHeight="1">
      <c r="A265" s="174"/>
      <c r="B265" s="36" t="s">
        <v>225</v>
      </c>
      <c r="C265" s="75" t="s">
        <v>226</v>
      </c>
      <c r="D265" s="37">
        <v>12439</v>
      </c>
      <c r="E265" s="37">
        <v>9136</v>
      </c>
      <c r="F265" s="37">
        <v>0</v>
      </c>
      <c r="G265" s="37">
        <v>0</v>
      </c>
      <c r="H265" s="37">
        <v>8185</v>
      </c>
      <c r="I265" s="37">
        <v>0</v>
      </c>
      <c r="J265" s="37">
        <v>0</v>
      </c>
      <c r="K265" s="37">
        <v>31800</v>
      </c>
      <c r="L265" s="37"/>
      <c r="M265" s="37">
        <v>640</v>
      </c>
      <c r="N265" s="37">
        <f t="shared" si="32"/>
        <v>31160</v>
      </c>
      <c r="O265" s="37">
        <v>0</v>
      </c>
      <c r="P265" s="172">
        <f t="shared" si="35"/>
        <v>31160</v>
      </c>
      <c r="Q265" s="172">
        <v>0</v>
      </c>
    </row>
    <row r="266" spans="1:17" s="112" customFormat="1" ht="13.5" customHeight="1">
      <c r="A266" s="174"/>
      <c r="B266" s="173" t="s">
        <v>290</v>
      </c>
      <c r="C266" s="75" t="s">
        <v>316</v>
      </c>
      <c r="D266" s="37">
        <v>28542</v>
      </c>
      <c r="E266" s="37">
        <v>18746</v>
      </c>
      <c r="F266" s="37">
        <v>0</v>
      </c>
      <c r="G266" s="37">
        <v>0</v>
      </c>
      <c r="H266" s="49">
        <v>27400</v>
      </c>
      <c r="I266" s="37">
        <v>0</v>
      </c>
      <c r="J266" s="37">
        <v>0</v>
      </c>
      <c r="K266" s="37">
        <v>79221</v>
      </c>
      <c r="L266" s="37"/>
      <c r="M266" s="37"/>
      <c r="N266" s="37">
        <f t="shared" si="32"/>
        <v>79221</v>
      </c>
      <c r="O266" s="37">
        <v>0</v>
      </c>
      <c r="P266" s="172">
        <f t="shared" si="35"/>
        <v>79221</v>
      </c>
      <c r="Q266" s="172">
        <v>0</v>
      </c>
    </row>
    <row r="267" spans="1:17" s="112" customFormat="1" ht="14.25" customHeight="1">
      <c r="A267" s="174"/>
      <c r="B267" s="173" t="s">
        <v>229</v>
      </c>
      <c r="C267" s="75" t="s">
        <v>230</v>
      </c>
      <c r="D267" s="37"/>
      <c r="E267" s="37">
        <v>2604</v>
      </c>
      <c r="F267" s="37">
        <v>0</v>
      </c>
      <c r="G267" s="37">
        <v>0</v>
      </c>
      <c r="H267" s="49">
        <v>3760</v>
      </c>
      <c r="I267" s="37">
        <v>0</v>
      </c>
      <c r="J267" s="37">
        <v>0</v>
      </c>
      <c r="K267" s="37">
        <v>10790</v>
      </c>
      <c r="L267" s="37"/>
      <c r="M267" s="37"/>
      <c r="N267" s="37">
        <f t="shared" si="32"/>
        <v>10790</v>
      </c>
      <c r="O267" s="37">
        <v>0</v>
      </c>
      <c r="P267" s="172">
        <f t="shared" si="35"/>
        <v>10790</v>
      </c>
      <c r="Q267" s="172">
        <v>0</v>
      </c>
    </row>
    <row r="268" spans="1:17" s="112" customFormat="1" ht="14.25" customHeight="1">
      <c r="A268" s="174"/>
      <c r="B268" s="36" t="s">
        <v>231</v>
      </c>
      <c r="C268" s="37" t="s">
        <v>263</v>
      </c>
      <c r="D268" s="37">
        <v>6390</v>
      </c>
      <c r="E268" s="37">
        <v>5029</v>
      </c>
      <c r="F268" s="37">
        <v>0</v>
      </c>
      <c r="G268" s="37">
        <v>0</v>
      </c>
      <c r="H268" s="49">
        <v>400</v>
      </c>
      <c r="I268" s="37">
        <v>0</v>
      </c>
      <c r="J268" s="37">
        <v>0</v>
      </c>
      <c r="K268" s="37">
        <v>6800</v>
      </c>
      <c r="L268" s="37"/>
      <c r="M268" s="37"/>
      <c r="N268" s="37">
        <f t="shared" si="32"/>
        <v>6800</v>
      </c>
      <c r="O268" s="37">
        <v>0</v>
      </c>
      <c r="P268" s="172">
        <f t="shared" si="35"/>
        <v>6800</v>
      </c>
      <c r="Q268" s="172">
        <v>0</v>
      </c>
    </row>
    <row r="269" spans="1:17" s="112" customFormat="1" ht="13.5" customHeight="1">
      <c r="A269" s="174"/>
      <c r="B269" s="36" t="s">
        <v>233</v>
      </c>
      <c r="C269" s="37" t="s">
        <v>234</v>
      </c>
      <c r="D269" s="37"/>
      <c r="E269" s="37"/>
      <c r="F269" s="37"/>
      <c r="G269" s="37"/>
      <c r="H269" s="49"/>
      <c r="I269" s="37"/>
      <c r="J269" s="37"/>
      <c r="K269" s="37">
        <v>6500</v>
      </c>
      <c r="L269" s="37"/>
      <c r="M269" s="37"/>
      <c r="N269" s="37">
        <f t="shared" si="32"/>
        <v>6500</v>
      </c>
      <c r="O269" s="37">
        <v>0</v>
      </c>
      <c r="P269" s="172">
        <f t="shared" si="35"/>
        <v>6500</v>
      </c>
      <c r="Q269" s="172">
        <v>0</v>
      </c>
    </row>
    <row r="270" spans="1:17" s="112" customFormat="1" ht="13.5" customHeight="1">
      <c r="A270" s="174"/>
      <c r="B270" s="36" t="s">
        <v>237</v>
      </c>
      <c r="C270" s="37" t="s">
        <v>238</v>
      </c>
      <c r="D270" s="37"/>
      <c r="E270" s="37"/>
      <c r="F270" s="37"/>
      <c r="G270" s="37"/>
      <c r="H270" s="49">
        <v>1600</v>
      </c>
      <c r="I270" s="37">
        <v>0</v>
      </c>
      <c r="J270" s="37">
        <v>0</v>
      </c>
      <c r="K270" s="37">
        <v>8200</v>
      </c>
      <c r="L270" s="37"/>
      <c r="M270" s="37"/>
      <c r="N270" s="37">
        <f t="shared" si="32"/>
        <v>8200</v>
      </c>
      <c r="O270" s="37">
        <v>0</v>
      </c>
      <c r="P270" s="172">
        <f t="shared" si="35"/>
        <v>8200</v>
      </c>
      <c r="Q270" s="172">
        <v>0</v>
      </c>
    </row>
    <row r="271" spans="1:17" s="112" customFormat="1" ht="16.5" customHeight="1">
      <c r="A271" s="174"/>
      <c r="B271" s="36" t="s">
        <v>243</v>
      </c>
      <c r="C271" s="37" t="s">
        <v>244</v>
      </c>
      <c r="D271" s="37"/>
      <c r="E271" s="37">
        <v>7121</v>
      </c>
      <c r="F271" s="37">
        <v>0</v>
      </c>
      <c r="G271" s="37">
        <v>0</v>
      </c>
      <c r="H271" s="49">
        <v>7875</v>
      </c>
      <c r="I271" s="37">
        <v>0</v>
      </c>
      <c r="J271" s="37">
        <v>0</v>
      </c>
      <c r="K271" s="37">
        <v>19556</v>
      </c>
      <c r="L271" s="37"/>
      <c r="M271" s="37"/>
      <c r="N271" s="37">
        <f t="shared" si="32"/>
        <v>19556</v>
      </c>
      <c r="O271" s="37">
        <v>0</v>
      </c>
      <c r="P271" s="172">
        <f t="shared" si="35"/>
        <v>19556</v>
      </c>
      <c r="Q271" s="172">
        <v>0</v>
      </c>
    </row>
    <row r="272" spans="1:17" s="112" customFormat="1" ht="22.5" customHeight="1">
      <c r="A272" s="174"/>
      <c r="B272" s="36" t="s">
        <v>364</v>
      </c>
      <c r="C272" s="87" t="s">
        <v>371</v>
      </c>
      <c r="D272" s="37"/>
      <c r="E272" s="37"/>
      <c r="F272" s="37"/>
      <c r="G272" s="37"/>
      <c r="H272" s="49"/>
      <c r="I272" s="37"/>
      <c r="J272" s="37"/>
      <c r="K272" s="37">
        <v>144987</v>
      </c>
      <c r="L272" s="37"/>
      <c r="M272" s="37"/>
      <c r="N272" s="37">
        <f t="shared" si="32"/>
        <v>144987</v>
      </c>
      <c r="O272" s="37"/>
      <c r="P272" s="172">
        <f t="shared" si="35"/>
        <v>144987</v>
      </c>
      <c r="Q272" s="172"/>
    </row>
    <row r="273" spans="1:17" s="112" customFormat="1" ht="15.75" customHeight="1">
      <c r="A273" s="175" t="s">
        <v>389</v>
      </c>
      <c r="B273" s="176"/>
      <c r="C273" s="181" t="s">
        <v>390</v>
      </c>
      <c r="D273" s="178"/>
      <c r="E273" s="178" t="e">
        <f>#REF!+E275+#REF!+#REF!+#REF!</f>
        <v>#REF!</v>
      </c>
      <c r="F273" s="178" t="e">
        <f>#REF!+F275+#REF!+#REF!+#REF!</f>
        <v>#REF!</v>
      </c>
      <c r="G273" s="178" t="e">
        <f>#REF!+G275+#REF!+#REF!+#REF!</f>
        <v>#REF!</v>
      </c>
      <c r="H273" s="178" t="e">
        <f>H275+#REF!</f>
        <v>#REF!</v>
      </c>
      <c r="I273" s="178" t="e">
        <f>I275+#REF!</f>
        <v>#REF!</v>
      </c>
      <c r="J273" s="178" t="e">
        <f>J275+#REF!</f>
        <v>#REF!</v>
      </c>
      <c r="K273" s="178">
        <f>K274+K275</f>
        <v>1200</v>
      </c>
      <c r="L273" s="178">
        <f>L274+L275</f>
        <v>0</v>
      </c>
      <c r="M273" s="178">
        <f>M274+M275</f>
        <v>0</v>
      </c>
      <c r="N273" s="188">
        <f t="shared" si="32"/>
        <v>1200</v>
      </c>
      <c r="O273" s="178">
        <f>O274+O275</f>
        <v>0</v>
      </c>
      <c r="P273" s="178">
        <f>P274+P275</f>
        <v>1200</v>
      </c>
      <c r="Q273" s="178">
        <f>Q274+Q275</f>
        <v>0</v>
      </c>
    </row>
    <row r="274" spans="1:17" s="112" customFormat="1" ht="13.5" customHeight="1">
      <c r="A274" s="174"/>
      <c r="B274" s="36" t="s">
        <v>261</v>
      </c>
      <c r="C274" s="75" t="s">
        <v>262</v>
      </c>
      <c r="D274" s="37"/>
      <c r="E274" s="37"/>
      <c r="F274" s="37"/>
      <c r="G274" s="37"/>
      <c r="H274" s="81"/>
      <c r="I274" s="81"/>
      <c r="J274" s="81"/>
      <c r="K274" s="49">
        <v>960</v>
      </c>
      <c r="L274" s="49"/>
      <c r="M274" s="81"/>
      <c r="N274" s="37">
        <f t="shared" si="32"/>
        <v>960</v>
      </c>
      <c r="O274" s="37">
        <v>0</v>
      </c>
      <c r="P274" s="172">
        <f>N274</f>
        <v>960</v>
      </c>
      <c r="Q274" s="172">
        <v>0</v>
      </c>
    </row>
    <row r="275" spans="1:17" s="112" customFormat="1" ht="14.25" customHeight="1">
      <c r="A275" s="174"/>
      <c r="B275" s="36" t="s">
        <v>231</v>
      </c>
      <c r="C275" s="75" t="s">
        <v>263</v>
      </c>
      <c r="D275" s="37"/>
      <c r="E275" s="37">
        <v>43</v>
      </c>
      <c r="F275" s="37">
        <v>0</v>
      </c>
      <c r="G275" s="37">
        <v>7</v>
      </c>
      <c r="H275" s="37">
        <v>100</v>
      </c>
      <c r="I275" s="37">
        <v>0</v>
      </c>
      <c r="J275" s="37">
        <v>0</v>
      </c>
      <c r="K275" s="37">
        <v>240</v>
      </c>
      <c r="L275" s="37"/>
      <c r="M275" s="37"/>
      <c r="N275" s="37">
        <f t="shared" si="32"/>
        <v>240</v>
      </c>
      <c r="O275" s="37">
        <v>0</v>
      </c>
      <c r="P275" s="172">
        <f>N275</f>
        <v>240</v>
      </c>
      <c r="Q275" s="172">
        <v>0</v>
      </c>
    </row>
    <row r="276" spans="1:17" s="112" customFormat="1" ht="22.5" customHeight="1">
      <c r="A276" s="175" t="s">
        <v>391</v>
      </c>
      <c r="B276" s="176"/>
      <c r="C276" s="181" t="s">
        <v>392</v>
      </c>
      <c r="D276" s="178"/>
      <c r="E276" s="178">
        <f>E277</f>
        <v>22260</v>
      </c>
      <c r="F276" s="178">
        <f>F277</f>
        <v>0</v>
      </c>
      <c r="G276" s="178">
        <f>G277</f>
        <v>0</v>
      </c>
      <c r="H276" s="178">
        <f>H277+H278+H279+H280+H281</f>
        <v>39096</v>
      </c>
      <c r="I276" s="178">
        <f>I277+I278+I279+I280+I281</f>
        <v>0</v>
      </c>
      <c r="J276" s="178">
        <f>J277+J278+J279+J280+J281</f>
        <v>0</v>
      </c>
      <c r="K276" s="178">
        <f>K277+K278+K279+K280+K281+K282+K283</f>
        <v>61720</v>
      </c>
      <c r="L276" s="178">
        <f>L277+L278+L279+L280+L281+L282+L283</f>
        <v>49720</v>
      </c>
      <c r="M276" s="178">
        <f>M277+M278+M279+M280+M281+M282+M283</f>
        <v>49720</v>
      </c>
      <c r="N276" s="178">
        <f t="shared" si="32"/>
        <v>61720</v>
      </c>
      <c r="O276" s="178">
        <f>O277+O278+O279+O280+O281+O283</f>
        <v>0</v>
      </c>
      <c r="P276" s="178">
        <f>P277+P278+P279+P280+P281+P282+P283</f>
        <v>49720</v>
      </c>
      <c r="Q276" s="178">
        <f>Q277+Q278+Q279+Q280+Q281+Q283</f>
        <v>12000</v>
      </c>
    </row>
    <row r="277" spans="1:17" s="112" customFormat="1" ht="17.25" customHeight="1">
      <c r="A277" s="174"/>
      <c r="B277" s="36" t="s">
        <v>154</v>
      </c>
      <c r="C277" s="75" t="s">
        <v>393</v>
      </c>
      <c r="D277" s="37"/>
      <c r="E277" s="37">
        <v>22260</v>
      </c>
      <c r="F277" s="37">
        <v>0</v>
      </c>
      <c r="G277" s="37">
        <v>0</v>
      </c>
      <c r="H277" s="49">
        <v>12000</v>
      </c>
      <c r="I277" s="49">
        <v>0</v>
      </c>
      <c r="J277" s="49">
        <v>0</v>
      </c>
      <c r="K277" s="37">
        <v>12000</v>
      </c>
      <c r="L277" s="37"/>
      <c r="M277" s="49"/>
      <c r="N277" s="37">
        <f t="shared" si="32"/>
        <v>12000</v>
      </c>
      <c r="O277" s="37">
        <v>0</v>
      </c>
      <c r="P277" s="172">
        <v>0</v>
      </c>
      <c r="Q277" s="172">
        <f>N277</f>
        <v>12000</v>
      </c>
    </row>
    <row r="278" spans="1:17" s="112" customFormat="1" ht="15" customHeight="1">
      <c r="A278" s="174"/>
      <c r="B278" s="36" t="s">
        <v>394</v>
      </c>
      <c r="C278" s="75" t="s">
        <v>395</v>
      </c>
      <c r="D278" s="37"/>
      <c r="E278" s="37"/>
      <c r="F278" s="37"/>
      <c r="G278" s="37"/>
      <c r="H278" s="49">
        <v>13500</v>
      </c>
      <c r="I278" s="49">
        <v>0</v>
      </c>
      <c r="J278" s="49">
        <v>0</v>
      </c>
      <c r="K278" s="37">
        <v>0</v>
      </c>
      <c r="L278" s="37"/>
      <c r="M278" s="49"/>
      <c r="N278" s="37">
        <f t="shared" si="32"/>
        <v>0</v>
      </c>
      <c r="O278" s="37">
        <v>0</v>
      </c>
      <c r="P278" s="172">
        <f aca="true" t="shared" si="36" ref="P278:P283">N278</f>
        <v>0</v>
      </c>
      <c r="Q278" s="172">
        <v>0</v>
      </c>
    </row>
    <row r="279" spans="1:17" s="112" customFormat="1" ht="16.5" customHeight="1">
      <c r="A279" s="174"/>
      <c r="B279" s="36" t="s">
        <v>221</v>
      </c>
      <c r="C279" s="75" t="s">
        <v>258</v>
      </c>
      <c r="D279" s="37"/>
      <c r="E279" s="37"/>
      <c r="F279" s="37"/>
      <c r="G279" s="37"/>
      <c r="H279" s="49">
        <v>11300</v>
      </c>
      <c r="I279" s="49">
        <v>0</v>
      </c>
      <c r="J279" s="49">
        <v>0</v>
      </c>
      <c r="K279" s="37">
        <v>18720</v>
      </c>
      <c r="L279" s="37">
        <v>18720</v>
      </c>
      <c r="M279" s="49">
        <v>18720</v>
      </c>
      <c r="N279" s="37">
        <f t="shared" si="32"/>
        <v>18720</v>
      </c>
      <c r="O279" s="37">
        <v>0</v>
      </c>
      <c r="P279" s="172">
        <f t="shared" si="36"/>
        <v>18720</v>
      </c>
      <c r="Q279" s="172">
        <v>0</v>
      </c>
    </row>
    <row r="280" spans="1:17" s="112" customFormat="1" ht="15" customHeight="1">
      <c r="A280" s="174"/>
      <c r="B280" s="36" t="s">
        <v>259</v>
      </c>
      <c r="C280" s="75" t="s">
        <v>316</v>
      </c>
      <c r="D280" s="37"/>
      <c r="E280" s="37"/>
      <c r="F280" s="37"/>
      <c r="G280" s="37"/>
      <c r="H280" s="49">
        <v>2020</v>
      </c>
      <c r="I280" s="49">
        <v>0</v>
      </c>
      <c r="J280" s="49">
        <v>0</v>
      </c>
      <c r="K280" s="37">
        <v>3369</v>
      </c>
      <c r="L280" s="37">
        <v>3369</v>
      </c>
      <c r="M280" s="49">
        <v>3369</v>
      </c>
      <c r="N280" s="37">
        <f t="shared" si="32"/>
        <v>3369</v>
      </c>
      <c r="O280" s="37">
        <v>0</v>
      </c>
      <c r="P280" s="172">
        <f t="shared" si="36"/>
        <v>3369</v>
      </c>
      <c r="Q280" s="172">
        <v>0</v>
      </c>
    </row>
    <row r="281" spans="1:17" s="112" customFormat="1" ht="15.75" customHeight="1">
      <c r="A281" s="174"/>
      <c r="B281" s="36" t="s">
        <v>229</v>
      </c>
      <c r="C281" s="75" t="s">
        <v>230</v>
      </c>
      <c r="D281" s="37"/>
      <c r="E281" s="37"/>
      <c r="F281" s="37"/>
      <c r="G281" s="37"/>
      <c r="H281" s="49">
        <v>276</v>
      </c>
      <c r="I281" s="49">
        <v>0</v>
      </c>
      <c r="J281" s="49">
        <v>0</v>
      </c>
      <c r="K281" s="37">
        <v>459</v>
      </c>
      <c r="L281" s="37">
        <v>459</v>
      </c>
      <c r="M281" s="49">
        <v>459</v>
      </c>
      <c r="N281" s="37">
        <f t="shared" si="32"/>
        <v>459</v>
      </c>
      <c r="O281" s="37">
        <v>0</v>
      </c>
      <c r="P281" s="172">
        <f t="shared" si="36"/>
        <v>459</v>
      </c>
      <c r="Q281" s="172">
        <v>0</v>
      </c>
    </row>
    <row r="282" spans="1:17" s="112" customFormat="1" ht="15.75" customHeight="1">
      <c r="A282" s="174"/>
      <c r="B282" s="36" t="s">
        <v>261</v>
      </c>
      <c r="C282" s="75" t="s">
        <v>277</v>
      </c>
      <c r="D282" s="37"/>
      <c r="E282" s="37"/>
      <c r="F282" s="37"/>
      <c r="G282" s="37"/>
      <c r="H282" s="49"/>
      <c r="I282" s="49"/>
      <c r="J282" s="49"/>
      <c r="K282" s="37">
        <v>5000</v>
      </c>
      <c r="L282" s="37">
        <v>5000</v>
      </c>
      <c r="M282" s="49">
        <v>5000</v>
      </c>
      <c r="N282" s="37">
        <f t="shared" si="32"/>
        <v>5000</v>
      </c>
      <c r="O282" s="37">
        <v>0</v>
      </c>
      <c r="P282" s="172">
        <f t="shared" si="36"/>
        <v>5000</v>
      </c>
      <c r="Q282" s="172">
        <v>0</v>
      </c>
    </row>
    <row r="283" spans="1:17" s="112" customFormat="1" ht="15.75" customHeight="1">
      <c r="A283" s="174"/>
      <c r="B283" s="36" t="s">
        <v>237</v>
      </c>
      <c r="C283" s="37" t="s">
        <v>238</v>
      </c>
      <c r="D283" s="37"/>
      <c r="E283" s="37"/>
      <c r="F283" s="37"/>
      <c r="G283" s="37"/>
      <c r="H283" s="49"/>
      <c r="I283" s="49"/>
      <c r="J283" s="49"/>
      <c r="K283" s="37">
        <v>22172</v>
      </c>
      <c r="L283" s="37">
        <v>22172</v>
      </c>
      <c r="M283" s="49">
        <v>22172</v>
      </c>
      <c r="N283" s="37">
        <f t="shared" si="32"/>
        <v>22172</v>
      </c>
      <c r="O283" s="37">
        <v>0</v>
      </c>
      <c r="P283" s="172">
        <f t="shared" si="36"/>
        <v>22172</v>
      </c>
      <c r="Q283" s="172">
        <v>0</v>
      </c>
    </row>
    <row r="284" spans="1:17" s="112" customFormat="1" ht="15.75" customHeight="1">
      <c r="A284" s="175" t="s">
        <v>396</v>
      </c>
      <c r="B284" s="187"/>
      <c r="C284" s="178" t="s">
        <v>30</v>
      </c>
      <c r="D284" s="188"/>
      <c r="E284" s="188"/>
      <c r="F284" s="188"/>
      <c r="G284" s="188"/>
      <c r="H284" s="208"/>
      <c r="I284" s="208"/>
      <c r="J284" s="208"/>
      <c r="K284" s="178">
        <f>K285</f>
        <v>0</v>
      </c>
      <c r="L284" s="178">
        <f>L285</f>
        <v>0</v>
      </c>
      <c r="M284" s="178">
        <f>M285</f>
        <v>0</v>
      </c>
      <c r="N284" s="178">
        <f aca="true" t="shared" si="37" ref="N284:N347">K284+L284-M284</f>
        <v>0</v>
      </c>
      <c r="O284" s="178">
        <f>O285</f>
        <v>0</v>
      </c>
      <c r="P284" s="178">
        <f>P285</f>
        <v>0</v>
      </c>
      <c r="Q284" s="178">
        <f>Q285</f>
        <v>0</v>
      </c>
    </row>
    <row r="285" spans="1:17" s="112" customFormat="1" ht="15.75" customHeight="1">
      <c r="A285" s="174"/>
      <c r="B285" s="45" t="s">
        <v>243</v>
      </c>
      <c r="C285" s="49" t="s">
        <v>244</v>
      </c>
      <c r="D285" s="37"/>
      <c r="E285" s="37"/>
      <c r="F285" s="37"/>
      <c r="G285" s="37"/>
      <c r="H285" s="49"/>
      <c r="I285" s="49"/>
      <c r="J285" s="49"/>
      <c r="K285" s="37">
        <v>0</v>
      </c>
      <c r="L285" s="37"/>
      <c r="M285" s="49"/>
      <c r="N285" s="37">
        <f t="shared" si="37"/>
        <v>0</v>
      </c>
      <c r="O285" s="37">
        <v>0</v>
      </c>
      <c r="P285" s="172">
        <v>0</v>
      </c>
      <c r="Q285" s="172">
        <v>0</v>
      </c>
    </row>
    <row r="286" spans="1:17" s="201" customFormat="1" ht="15.75" customHeight="1">
      <c r="A286" s="209" t="s">
        <v>397</v>
      </c>
      <c r="B286" s="194"/>
      <c r="C286" s="183" t="s">
        <v>129</v>
      </c>
      <c r="D286" s="183"/>
      <c r="E286" s="183"/>
      <c r="F286" s="183"/>
      <c r="G286" s="183"/>
      <c r="H286" s="183"/>
      <c r="I286" s="183"/>
      <c r="J286" s="183"/>
      <c r="K286" s="183">
        <f>K287</f>
        <v>84686</v>
      </c>
      <c r="L286" s="183">
        <f>L287</f>
        <v>13015</v>
      </c>
      <c r="M286" s="183">
        <f>M287</f>
        <v>0</v>
      </c>
      <c r="N286" s="183">
        <f t="shared" si="37"/>
        <v>97701</v>
      </c>
      <c r="O286" s="183">
        <f>O287</f>
        <v>0</v>
      </c>
      <c r="P286" s="183">
        <f>P287</f>
        <v>97701</v>
      </c>
      <c r="Q286" s="183">
        <f>Q287</f>
        <v>0</v>
      </c>
    </row>
    <row r="287" spans="1:17" s="112" customFormat="1" ht="15.75" customHeight="1">
      <c r="A287" s="175" t="s">
        <v>398</v>
      </c>
      <c r="B287" s="187"/>
      <c r="C287" s="188" t="s">
        <v>399</v>
      </c>
      <c r="D287" s="188"/>
      <c r="E287" s="188"/>
      <c r="F287" s="188"/>
      <c r="G287" s="188"/>
      <c r="H287" s="208"/>
      <c r="I287" s="208"/>
      <c r="J287" s="208"/>
      <c r="K287" s="178">
        <f>SUM(K288:K295)</f>
        <v>84686</v>
      </c>
      <c r="L287" s="178">
        <f>SUM(L288:L295)</f>
        <v>13015</v>
      </c>
      <c r="M287" s="178">
        <f>SUM(M288:M295)</f>
        <v>0</v>
      </c>
      <c r="N287" s="178">
        <f t="shared" si="37"/>
        <v>97701</v>
      </c>
      <c r="O287" s="188">
        <v>0</v>
      </c>
      <c r="P287" s="178">
        <f>SUM(P288:P295)</f>
        <v>97701</v>
      </c>
      <c r="Q287" s="188">
        <f>SUM(Q288:Q295)</f>
        <v>0</v>
      </c>
    </row>
    <row r="288" spans="1:17" s="112" customFormat="1" ht="15.75" customHeight="1">
      <c r="A288" s="174"/>
      <c r="B288" s="36" t="s">
        <v>400</v>
      </c>
      <c r="C288" s="37" t="s">
        <v>401</v>
      </c>
      <c r="D288" s="37"/>
      <c r="E288" s="37"/>
      <c r="F288" s="37"/>
      <c r="G288" s="37"/>
      <c r="H288" s="49"/>
      <c r="I288" s="49"/>
      <c r="J288" s="49"/>
      <c r="K288" s="37">
        <v>49350</v>
      </c>
      <c r="L288" s="37">
        <v>7050</v>
      </c>
      <c r="M288" s="49"/>
      <c r="N288" s="37">
        <f t="shared" si="37"/>
        <v>56400</v>
      </c>
      <c r="O288" s="37">
        <v>0</v>
      </c>
      <c r="P288" s="172">
        <f aca="true" t="shared" si="38" ref="P288:P295">N288</f>
        <v>56400</v>
      </c>
      <c r="Q288" s="172">
        <v>0</v>
      </c>
    </row>
    <row r="289" spans="1:17" s="112" customFormat="1" ht="15.75" customHeight="1">
      <c r="A289" s="174"/>
      <c r="B289" s="36" t="s">
        <v>402</v>
      </c>
      <c r="C289" s="37" t="s">
        <v>401</v>
      </c>
      <c r="D289" s="37"/>
      <c r="E289" s="37"/>
      <c r="F289" s="37"/>
      <c r="G289" s="37"/>
      <c r="H289" s="49"/>
      <c r="I289" s="49"/>
      <c r="J289" s="49"/>
      <c r="K289" s="37">
        <v>29090</v>
      </c>
      <c r="L289" s="37">
        <v>2350</v>
      </c>
      <c r="M289" s="49"/>
      <c r="N289" s="37">
        <f t="shared" si="37"/>
        <v>31440</v>
      </c>
      <c r="O289" s="37">
        <v>0</v>
      </c>
      <c r="P289" s="172">
        <f t="shared" si="38"/>
        <v>31440</v>
      </c>
      <c r="Q289" s="172">
        <v>0</v>
      </c>
    </row>
    <row r="290" spans="1:17" s="112" customFormat="1" ht="15.75" customHeight="1">
      <c r="A290" s="174"/>
      <c r="B290" s="36" t="s">
        <v>403</v>
      </c>
      <c r="C290" s="37" t="s">
        <v>262</v>
      </c>
      <c r="D290" s="37"/>
      <c r="E290" s="37"/>
      <c r="F290" s="37"/>
      <c r="G290" s="37"/>
      <c r="H290" s="49"/>
      <c r="I290" s="49"/>
      <c r="J290" s="49"/>
      <c r="K290" s="37">
        <v>1614</v>
      </c>
      <c r="L290" s="37">
        <v>2076</v>
      </c>
      <c r="M290" s="49"/>
      <c r="N290" s="37">
        <f t="shared" si="37"/>
        <v>3690</v>
      </c>
      <c r="O290" s="37">
        <v>0</v>
      </c>
      <c r="P290" s="172">
        <f t="shared" si="38"/>
        <v>3690</v>
      </c>
      <c r="Q290" s="172">
        <v>0</v>
      </c>
    </row>
    <row r="291" spans="1:17" s="112" customFormat="1" ht="15.75" customHeight="1">
      <c r="A291" s="174"/>
      <c r="B291" s="36" t="s">
        <v>404</v>
      </c>
      <c r="C291" s="37" t="s">
        <v>262</v>
      </c>
      <c r="D291" s="37"/>
      <c r="E291" s="37"/>
      <c r="F291" s="37"/>
      <c r="G291" s="37"/>
      <c r="H291" s="49"/>
      <c r="I291" s="49"/>
      <c r="J291" s="49"/>
      <c r="K291" s="37">
        <v>538</v>
      </c>
      <c r="L291" s="37">
        <v>692</v>
      </c>
      <c r="M291" s="49"/>
      <c r="N291" s="37">
        <f t="shared" si="37"/>
        <v>1230</v>
      </c>
      <c r="O291" s="37">
        <v>0</v>
      </c>
      <c r="P291" s="172">
        <f t="shared" si="38"/>
        <v>1230</v>
      </c>
      <c r="Q291" s="172">
        <v>0</v>
      </c>
    </row>
    <row r="292" spans="1:17" s="112" customFormat="1" ht="15.75" customHeight="1">
      <c r="A292" s="174"/>
      <c r="B292" s="36" t="s">
        <v>405</v>
      </c>
      <c r="C292" s="37" t="s">
        <v>232</v>
      </c>
      <c r="D292" s="37"/>
      <c r="E292" s="37"/>
      <c r="F292" s="37"/>
      <c r="G292" s="37"/>
      <c r="H292" s="49"/>
      <c r="I292" s="49"/>
      <c r="J292" s="49"/>
      <c r="K292" s="37">
        <v>70</v>
      </c>
      <c r="L292" s="37">
        <v>75</v>
      </c>
      <c r="M292" s="49"/>
      <c r="N292" s="37">
        <f t="shared" si="37"/>
        <v>145</v>
      </c>
      <c r="O292" s="37">
        <v>0</v>
      </c>
      <c r="P292" s="172">
        <f t="shared" si="38"/>
        <v>145</v>
      </c>
      <c r="Q292" s="172">
        <v>0</v>
      </c>
    </row>
    <row r="293" spans="1:17" s="112" customFormat="1" ht="15.75" customHeight="1">
      <c r="A293" s="174"/>
      <c r="B293" s="36" t="s">
        <v>406</v>
      </c>
      <c r="C293" s="37" t="s">
        <v>232</v>
      </c>
      <c r="D293" s="37"/>
      <c r="E293" s="37"/>
      <c r="F293" s="37"/>
      <c r="G293" s="37"/>
      <c r="H293" s="49"/>
      <c r="I293" s="49"/>
      <c r="J293" s="49"/>
      <c r="K293" s="37">
        <v>24</v>
      </c>
      <c r="L293" s="37">
        <v>25</v>
      </c>
      <c r="M293" s="49"/>
      <c r="N293" s="37">
        <f t="shared" si="37"/>
        <v>49</v>
      </c>
      <c r="O293" s="37">
        <v>0</v>
      </c>
      <c r="P293" s="172">
        <f t="shared" si="38"/>
        <v>49</v>
      </c>
      <c r="Q293" s="172">
        <v>0</v>
      </c>
    </row>
    <row r="294" spans="1:17" s="112" customFormat="1" ht="15" customHeight="1">
      <c r="A294" s="174"/>
      <c r="B294" s="36" t="s">
        <v>407</v>
      </c>
      <c r="C294" s="37" t="s">
        <v>297</v>
      </c>
      <c r="D294" s="37"/>
      <c r="E294" s="37"/>
      <c r="F294" s="37"/>
      <c r="G294" s="37"/>
      <c r="H294" s="49"/>
      <c r="I294" s="49"/>
      <c r="J294" s="49"/>
      <c r="K294" s="37">
        <v>3000</v>
      </c>
      <c r="L294" s="37">
        <v>560</v>
      </c>
      <c r="M294" s="49"/>
      <c r="N294" s="37">
        <f t="shared" si="37"/>
        <v>3560</v>
      </c>
      <c r="O294" s="37">
        <v>0</v>
      </c>
      <c r="P294" s="172">
        <f t="shared" si="38"/>
        <v>3560</v>
      </c>
      <c r="Q294" s="172">
        <v>0</v>
      </c>
    </row>
    <row r="295" spans="1:17" s="112" customFormat="1" ht="16.5" customHeight="1">
      <c r="A295" s="174"/>
      <c r="B295" s="36" t="s">
        <v>408</v>
      </c>
      <c r="C295" s="37" t="s">
        <v>297</v>
      </c>
      <c r="D295" s="37"/>
      <c r="E295" s="37"/>
      <c r="F295" s="37"/>
      <c r="G295" s="37"/>
      <c r="H295" s="49"/>
      <c r="I295" s="49"/>
      <c r="J295" s="49"/>
      <c r="K295" s="37">
        <v>1000</v>
      </c>
      <c r="L295" s="37">
        <v>187</v>
      </c>
      <c r="M295" s="49"/>
      <c r="N295" s="37">
        <f t="shared" si="37"/>
        <v>1187</v>
      </c>
      <c r="O295" s="37">
        <v>0</v>
      </c>
      <c r="P295" s="172">
        <f t="shared" si="38"/>
        <v>1187</v>
      </c>
      <c r="Q295" s="172">
        <v>0</v>
      </c>
    </row>
    <row r="296" spans="1:17" s="112" customFormat="1" ht="16.5" customHeight="1">
      <c r="A296" s="182" t="s">
        <v>134</v>
      </c>
      <c r="B296" s="194"/>
      <c r="C296" s="183" t="s">
        <v>409</v>
      </c>
      <c r="D296" s="183" t="e">
        <f>D297+#REF!+#REF!+#REF!+#REF!+D308</f>
        <v>#REF!</v>
      </c>
      <c r="E296" s="183" t="e">
        <f>E297+#REF!+#REF!+#REF!+#REF!+E308</f>
        <v>#REF!</v>
      </c>
      <c r="F296" s="183" t="e">
        <f>F297+#REF!+#REF!+F308</f>
        <v>#REF!</v>
      </c>
      <c r="G296" s="183" t="e">
        <f>G297+#REF!+#REF!+G308</f>
        <v>#REF!</v>
      </c>
      <c r="H296" s="183" t="e">
        <f>H297+#REF!+H308</f>
        <v>#REF!</v>
      </c>
      <c r="I296" s="183" t="e">
        <f>I297+#REF!+I308</f>
        <v>#REF!</v>
      </c>
      <c r="J296" s="183" t="e">
        <f>J297+#REF!+J308</f>
        <v>#REF!</v>
      </c>
      <c r="K296" s="183">
        <f>K297+K302+K308</f>
        <v>3527690</v>
      </c>
      <c r="L296" s="183">
        <f>L297+L302+L308</f>
        <v>3003</v>
      </c>
      <c r="M296" s="183">
        <f>M297+M302+M308</f>
        <v>3</v>
      </c>
      <c r="N296" s="183">
        <f t="shared" si="37"/>
        <v>3530690</v>
      </c>
      <c r="O296" s="183">
        <f>O297+O302+O308</f>
        <v>548000</v>
      </c>
      <c r="P296" s="183">
        <f>P297+P302+P308</f>
        <v>2982690</v>
      </c>
      <c r="Q296" s="183">
        <f>Q297+Q302+Q308</f>
        <v>0</v>
      </c>
    </row>
    <row r="297" spans="1:17" s="112" customFormat="1" ht="15" customHeight="1">
      <c r="A297" s="186" t="s">
        <v>136</v>
      </c>
      <c r="B297" s="187"/>
      <c r="C297" s="178" t="s">
        <v>135</v>
      </c>
      <c r="D297" s="178" t="e">
        <f>#REF!+#REF!+#REF!</f>
        <v>#REF!</v>
      </c>
      <c r="E297" s="178" t="e">
        <f>#REF!+#REF!+#REF!+E298</f>
        <v>#REF!</v>
      </c>
      <c r="F297" s="178" t="e">
        <f>#REF!+#REF!+#REF!+F298</f>
        <v>#REF!</v>
      </c>
      <c r="G297" s="178" t="e">
        <f>#REF!+#REF!+#REF!</f>
        <v>#REF!</v>
      </c>
      <c r="H297" s="178" t="e">
        <f>#REF!+H298+H301+H299+H300+#REF!</f>
        <v>#REF!</v>
      </c>
      <c r="I297" s="178" t="e">
        <f>#REF!+I298+I301+I299+I300+#REF!</f>
        <v>#REF!</v>
      </c>
      <c r="J297" s="178" t="e">
        <f>#REF!+J298+J301+J299+J300+#REF!</f>
        <v>#REF!</v>
      </c>
      <c r="K297" s="178">
        <f>SUM(K298:K301)</f>
        <v>2973938</v>
      </c>
      <c r="L297" s="178">
        <f>SUM(L298:L301)</f>
        <v>0</v>
      </c>
      <c r="M297" s="178">
        <f>SUM(M298:M301)</f>
        <v>0</v>
      </c>
      <c r="N297" s="178">
        <f t="shared" si="37"/>
        <v>2973938</v>
      </c>
      <c r="O297" s="178">
        <f>SUM(O298:O301)</f>
        <v>0</v>
      </c>
      <c r="P297" s="178">
        <f>SUM(P298:P301)</f>
        <v>2973938</v>
      </c>
      <c r="Q297" s="178">
        <f>SUM(Q298:Q301)</f>
        <v>0</v>
      </c>
    </row>
    <row r="298" spans="1:17" s="112" customFormat="1" ht="15.75" customHeight="1">
      <c r="A298" s="168"/>
      <c r="B298" s="36" t="s">
        <v>410</v>
      </c>
      <c r="C298" s="42" t="s">
        <v>411</v>
      </c>
      <c r="D298" s="49"/>
      <c r="E298" s="49">
        <v>0</v>
      </c>
      <c r="F298" s="49">
        <v>9135</v>
      </c>
      <c r="G298" s="49">
        <v>0</v>
      </c>
      <c r="H298" s="49">
        <v>100000</v>
      </c>
      <c r="I298" s="49">
        <v>0</v>
      </c>
      <c r="J298" s="49">
        <v>0</v>
      </c>
      <c r="K298" s="49">
        <v>250000</v>
      </c>
      <c r="L298" s="49"/>
      <c r="M298" s="49"/>
      <c r="N298" s="37">
        <f t="shared" si="37"/>
        <v>250000</v>
      </c>
      <c r="O298" s="49">
        <v>0</v>
      </c>
      <c r="P298" s="170">
        <f>N298</f>
        <v>250000</v>
      </c>
      <c r="Q298" s="169">
        <v>0</v>
      </c>
    </row>
    <row r="299" spans="1:17" s="112" customFormat="1" ht="16.5" customHeight="1">
      <c r="A299" s="168"/>
      <c r="B299" s="36" t="s">
        <v>268</v>
      </c>
      <c r="C299" s="87" t="s">
        <v>412</v>
      </c>
      <c r="D299" s="49"/>
      <c r="E299" s="49"/>
      <c r="F299" s="49"/>
      <c r="G299" s="49"/>
      <c r="H299" s="49">
        <v>5011670</v>
      </c>
      <c r="I299" s="49">
        <v>0</v>
      </c>
      <c r="J299" s="49">
        <v>0</v>
      </c>
      <c r="K299" s="49">
        <v>49676</v>
      </c>
      <c r="L299" s="49"/>
      <c r="M299" s="49"/>
      <c r="N299" s="37">
        <f t="shared" si="37"/>
        <v>49676</v>
      </c>
      <c r="O299" s="49">
        <v>0</v>
      </c>
      <c r="P299" s="170">
        <f>N299</f>
        <v>49676</v>
      </c>
      <c r="Q299" s="169">
        <v>0</v>
      </c>
    </row>
    <row r="300" spans="1:17" s="112" customFormat="1" ht="17.25" customHeight="1">
      <c r="A300" s="168"/>
      <c r="B300" s="36" t="s">
        <v>272</v>
      </c>
      <c r="C300" s="87" t="s">
        <v>412</v>
      </c>
      <c r="D300" s="49"/>
      <c r="E300" s="49"/>
      <c r="F300" s="49"/>
      <c r="G300" s="49"/>
      <c r="H300" s="49">
        <v>8600</v>
      </c>
      <c r="I300" s="49">
        <v>0</v>
      </c>
      <c r="J300" s="49">
        <v>0</v>
      </c>
      <c r="K300" s="49">
        <v>1801762</v>
      </c>
      <c r="L300" s="49"/>
      <c r="M300" s="49"/>
      <c r="N300" s="37">
        <f t="shared" si="37"/>
        <v>1801762</v>
      </c>
      <c r="O300" s="49">
        <v>0</v>
      </c>
      <c r="P300" s="170">
        <f>N300</f>
        <v>1801762</v>
      </c>
      <c r="Q300" s="169">
        <v>0</v>
      </c>
    </row>
    <row r="301" spans="1:17" s="112" customFormat="1" ht="16.5" customHeight="1">
      <c r="A301" s="168"/>
      <c r="B301" s="36" t="s">
        <v>274</v>
      </c>
      <c r="C301" s="87" t="s">
        <v>412</v>
      </c>
      <c r="D301" s="49"/>
      <c r="E301" s="49"/>
      <c r="F301" s="49"/>
      <c r="G301" s="49"/>
      <c r="H301" s="49">
        <v>74000</v>
      </c>
      <c r="I301" s="49">
        <v>0</v>
      </c>
      <c r="J301" s="49">
        <v>0</v>
      </c>
      <c r="K301" s="49">
        <v>872500</v>
      </c>
      <c r="L301" s="49"/>
      <c r="M301" s="49"/>
      <c r="N301" s="37">
        <f t="shared" si="37"/>
        <v>872500</v>
      </c>
      <c r="O301" s="49">
        <v>0</v>
      </c>
      <c r="P301" s="170">
        <f>N301</f>
        <v>872500</v>
      </c>
      <c r="Q301" s="169">
        <v>0</v>
      </c>
    </row>
    <row r="302" spans="1:17" s="201" customFormat="1" ht="16.5" customHeight="1">
      <c r="A302" s="186" t="s">
        <v>413</v>
      </c>
      <c r="B302" s="186"/>
      <c r="C302" s="181" t="s">
        <v>414</v>
      </c>
      <c r="D302" s="178"/>
      <c r="E302" s="178"/>
      <c r="F302" s="178"/>
      <c r="G302" s="178"/>
      <c r="H302" s="178"/>
      <c r="I302" s="178"/>
      <c r="J302" s="178"/>
      <c r="K302" s="178">
        <f>SUM(K303:K307)</f>
        <v>8752</v>
      </c>
      <c r="L302" s="178">
        <f>SUM(L303:L307)</f>
        <v>3</v>
      </c>
      <c r="M302" s="178">
        <f>SUM(M303:M307)</f>
        <v>3</v>
      </c>
      <c r="N302" s="178">
        <f t="shared" si="37"/>
        <v>8752</v>
      </c>
      <c r="O302" s="178">
        <f>SUM(O306:O307)</f>
        <v>0</v>
      </c>
      <c r="P302" s="178">
        <f>SUM(P303:P307)</f>
        <v>8752</v>
      </c>
      <c r="Q302" s="178">
        <f>SUM(Q306:Q307)</f>
        <v>0</v>
      </c>
    </row>
    <row r="303" spans="1:17" s="201" customFormat="1" ht="16.5" customHeight="1">
      <c r="A303" s="168"/>
      <c r="B303" s="116" t="s">
        <v>221</v>
      </c>
      <c r="C303" s="75" t="s">
        <v>258</v>
      </c>
      <c r="D303" s="81"/>
      <c r="E303" s="81"/>
      <c r="F303" s="81"/>
      <c r="G303" s="81"/>
      <c r="H303" s="81"/>
      <c r="I303" s="81"/>
      <c r="J303" s="81"/>
      <c r="K303" s="49">
        <v>4156</v>
      </c>
      <c r="L303" s="49"/>
      <c r="M303" s="81"/>
      <c r="N303" s="37">
        <f t="shared" si="37"/>
        <v>4156</v>
      </c>
      <c r="O303" s="49">
        <v>0</v>
      </c>
      <c r="P303" s="49">
        <f>N303</f>
        <v>4156</v>
      </c>
      <c r="Q303" s="49"/>
    </row>
    <row r="304" spans="1:17" s="201" customFormat="1" ht="15.75" customHeight="1">
      <c r="A304" s="168"/>
      <c r="B304" s="116" t="s">
        <v>259</v>
      </c>
      <c r="C304" s="75" t="s">
        <v>316</v>
      </c>
      <c r="D304" s="81"/>
      <c r="E304" s="81"/>
      <c r="F304" s="81"/>
      <c r="G304" s="81"/>
      <c r="H304" s="81"/>
      <c r="I304" s="81"/>
      <c r="J304" s="81"/>
      <c r="K304" s="49">
        <v>756</v>
      </c>
      <c r="L304" s="49"/>
      <c r="M304" s="81"/>
      <c r="N304" s="37">
        <f t="shared" si="37"/>
        <v>756</v>
      </c>
      <c r="O304" s="49">
        <v>0</v>
      </c>
      <c r="P304" s="49">
        <f>N304</f>
        <v>756</v>
      </c>
      <c r="Q304" s="49"/>
    </row>
    <row r="305" spans="1:17" s="201" customFormat="1" ht="17.25" customHeight="1">
      <c r="A305" s="168"/>
      <c r="B305" s="116" t="s">
        <v>229</v>
      </c>
      <c r="C305" s="75" t="s">
        <v>230</v>
      </c>
      <c r="D305" s="81"/>
      <c r="E305" s="81"/>
      <c r="F305" s="81"/>
      <c r="G305" s="81"/>
      <c r="H305" s="81"/>
      <c r="I305" s="81"/>
      <c r="J305" s="81"/>
      <c r="K305" s="49">
        <v>102</v>
      </c>
      <c r="L305" s="49"/>
      <c r="M305" s="81"/>
      <c r="N305" s="37">
        <f t="shared" si="37"/>
        <v>102</v>
      </c>
      <c r="O305" s="49">
        <v>0</v>
      </c>
      <c r="P305" s="49">
        <f>N305</f>
        <v>102</v>
      </c>
      <c r="Q305" s="49"/>
    </row>
    <row r="306" spans="1:17" s="112" customFormat="1" ht="15" customHeight="1">
      <c r="A306" s="184"/>
      <c r="B306" s="184" t="s">
        <v>231</v>
      </c>
      <c r="C306" s="42" t="s">
        <v>232</v>
      </c>
      <c r="D306" s="49"/>
      <c r="E306" s="49"/>
      <c r="F306" s="49"/>
      <c r="G306" s="49"/>
      <c r="H306" s="37"/>
      <c r="I306" s="37"/>
      <c r="J306" s="37"/>
      <c r="K306" s="37">
        <v>3550</v>
      </c>
      <c r="L306" s="37"/>
      <c r="M306" s="37">
        <v>3</v>
      </c>
      <c r="N306" s="37">
        <f t="shared" si="37"/>
        <v>3547</v>
      </c>
      <c r="O306" s="49">
        <v>0</v>
      </c>
      <c r="P306" s="49">
        <f>N306</f>
        <v>3547</v>
      </c>
      <c r="Q306" s="170">
        <v>0</v>
      </c>
    </row>
    <row r="307" spans="1:17" s="112" customFormat="1" ht="17.25" customHeight="1">
      <c r="A307" s="168"/>
      <c r="B307" s="184" t="s">
        <v>243</v>
      </c>
      <c r="C307" s="37" t="s">
        <v>244</v>
      </c>
      <c r="D307" s="49"/>
      <c r="E307" s="49"/>
      <c r="F307" s="49"/>
      <c r="G307" s="49"/>
      <c r="H307" s="37"/>
      <c r="I307" s="37"/>
      <c r="J307" s="37"/>
      <c r="K307" s="37">
        <v>188</v>
      </c>
      <c r="L307" s="37">
        <v>3</v>
      </c>
      <c r="M307" s="37"/>
      <c r="N307" s="37">
        <f t="shared" si="37"/>
        <v>191</v>
      </c>
      <c r="O307" s="49">
        <v>0</v>
      </c>
      <c r="P307" s="49">
        <f>N307</f>
        <v>191</v>
      </c>
      <c r="Q307" s="170"/>
    </row>
    <row r="308" spans="1:17" s="112" customFormat="1" ht="24.75" customHeight="1">
      <c r="A308" s="175" t="s">
        <v>415</v>
      </c>
      <c r="B308" s="210"/>
      <c r="C308" s="181" t="s">
        <v>416</v>
      </c>
      <c r="D308" s="178" t="e">
        <f>#REF!</f>
        <v>#REF!</v>
      </c>
      <c r="E308" s="178" t="e">
        <f>#REF!+E309+#REF!</f>
        <v>#REF!</v>
      </c>
      <c r="F308" s="178" t="e">
        <f>#REF!+F309+#REF!</f>
        <v>#REF!</v>
      </c>
      <c r="G308" s="178" t="e">
        <f>#REF!+G309+#REF!</f>
        <v>#REF!</v>
      </c>
      <c r="H308" s="178">
        <f aca="true" t="shared" si="39" ref="H308:M308">H309</f>
        <v>363000</v>
      </c>
      <c r="I308" s="178">
        <f t="shared" si="39"/>
        <v>0</v>
      </c>
      <c r="J308" s="178">
        <f t="shared" si="39"/>
        <v>0</v>
      </c>
      <c r="K308" s="178">
        <f t="shared" si="39"/>
        <v>545000</v>
      </c>
      <c r="L308" s="178">
        <f t="shared" si="39"/>
        <v>3000</v>
      </c>
      <c r="M308" s="178">
        <f t="shared" si="39"/>
        <v>0</v>
      </c>
      <c r="N308" s="178">
        <f t="shared" si="37"/>
        <v>548000</v>
      </c>
      <c r="O308" s="178">
        <f>O309</f>
        <v>548000</v>
      </c>
      <c r="P308" s="178">
        <f>P309</f>
        <v>0</v>
      </c>
      <c r="Q308" s="178">
        <f>Q309</f>
        <v>0</v>
      </c>
    </row>
    <row r="309" spans="1:17" s="112" customFormat="1" ht="13.5" customHeight="1">
      <c r="A309" s="171"/>
      <c r="B309" s="184" t="s">
        <v>417</v>
      </c>
      <c r="C309" s="75" t="s">
        <v>418</v>
      </c>
      <c r="D309" s="37"/>
      <c r="E309" s="37">
        <v>47223</v>
      </c>
      <c r="F309" s="37">
        <v>0</v>
      </c>
      <c r="G309" s="37">
        <v>0</v>
      </c>
      <c r="H309" s="37">
        <v>363000</v>
      </c>
      <c r="I309" s="37">
        <v>0</v>
      </c>
      <c r="J309" s="37">
        <v>0</v>
      </c>
      <c r="K309" s="37">
        <v>545000</v>
      </c>
      <c r="L309" s="37">
        <v>3000</v>
      </c>
      <c r="M309" s="37"/>
      <c r="N309" s="37">
        <f t="shared" si="37"/>
        <v>548000</v>
      </c>
      <c r="O309" s="37">
        <f>N309</f>
        <v>548000</v>
      </c>
      <c r="P309" s="172">
        <v>0</v>
      </c>
      <c r="Q309" s="172">
        <v>0</v>
      </c>
    </row>
    <row r="310" spans="1:17" s="112" customFormat="1" ht="17.25" customHeight="1">
      <c r="A310" s="182" t="s">
        <v>419</v>
      </c>
      <c r="B310" s="182"/>
      <c r="C310" s="183" t="s">
        <v>420</v>
      </c>
      <c r="D310" s="183" t="e">
        <f>D311+D329+D345+#REF!+D350+#REF!+#REF!+D390</f>
        <v>#REF!</v>
      </c>
      <c r="E310" s="183" t="e">
        <f>E311+E329+E345+#REF!+E350+#REF!+#REF!+#REF!+E390+#REF!</f>
        <v>#REF!</v>
      </c>
      <c r="F310" s="183" t="e">
        <f>F311+F329+F345+#REF!+F350+#REF!+#REF!+#REF!+F390+#REF!</f>
        <v>#REF!</v>
      </c>
      <c r="G310" s="183" t="e">
        <f>G311+G329+G345+#REF!+G350+#REF!+#REF!+#REF!+G390+#REF!</f>
        <v>#REF!</v>
      </c>
      <c r="H310" s="183" t="e">
        <f>H311+H329+H345+#REF!+H350+#REF!+#REF!+#REF!+H390+#REF!</f>
        <v>#REF!</v>
      </c>
      <c r="I310" s="183" t="e">
        <f>I311+I329+I345+#REF!+I350+#REF!+#REF!+#REF!+I390+#REF!</f>
        <v>#REF!</v>
      </c>
      <c r="J310" s="183" t="e">
        <f>J311+J329+J345+#REF!+J350+#REF!+#REF!+#REF!+J390+#REF!</f>
        <v>#REF!</v>
      </c>
      <c r="K310" s="183">
        <f>K311+K329+K345+K350+K363+K375+K378</f>
        <v>3344782</v>
      </c>
      <c r="L310" s="183">
        <f>L311+L329+L345+L350+L363+L375+L378</f>
        <v>14607</v>
      </c>
      <c r="M310" s="183">
        <f>M311+M329+M345+M350+M363+M375+M378</f>
        <v>14607</v>
      </c>
      <c r="N310" s="183">
        <f t="shared" si="37"/>
        <v>3344782</v>
      </c>
      <c r="O310" s="183">
        <f>O311+O329+O345+O350+O363+O375+O378</f>
        <v>0</v>
      </c>
      <c r="P310" s="183">
        <f>P311+P329+P345+P350+P363+P375+P378</f>
        <v>3005052</v>
      </c>
      <c r="Q310" s="183">
        <f>Q311+Q329+Q345+Q350+Q363+Q375+Q378</f>
        <v>339730</v>
      </c>
    </row>
    <row r="311" spans="1:17" s="112" customFormat="1" ht="14.25" customHeight="1">
      <c r="A311" s="186" t="s">
        <v>145</v>
      </c>
      <c r="B311" s="186"/>
      <c r="C311" s="181" t="s">
        <v>421</v>
      </c>
      <c r="D311" s="178" t="e">
        <f>D314+D315+D316+#REF!</f>
        <v>#REF!</v>
      </c>
      <c r="E311" s="178" t="e">
        <f>E314+E315+E316+E317+#REF!+E312+#REF!+E313+E319+E320+#REF!+E322+#REF!+E323+E325+E326+E327+#REF!</f>
        <v>#REF!</v>
      </c>
      <c r="F311" s="178" t="e">
        <f>F314+F315+F316+F317+#REF!+F312+#REF!+F313+F319+F320+#REF!+F322+#REF!+F323+F325+F326+F327+#REF!</f>
        <v>#REF!</v>
      </c>
      <c r="G311" s="178" t="e">
        <f>G314+G315+G316+G317+#REF!+G312+#REF!+G313+G319+G320+#REF!+G322+#REF!+G323+G325+G326+G327+#REF!</f>
        <v>#REF!</v>
      </c>
      <c r="H311" s="178" t="e">
        <f>H314+H315+H316+H317+H312+H313+H319+H320+H322+H323+H325+H326+H327+#REF!+H321</f>
        <v>#REF!</v>
      </c>
      <c r="I311" s="178" t="e">
        <f>I314+I315+I316+I317+I312+I313+I319+I320+I322+I323+I325+I326+I327+#REF!+I321</f>
        <v>#REF!</v>
      </c>
      <c r="J311" s="178" t="e">
        <f>J314+J315+J316+J317+J312+J313+J319+J320+J322+J323+J325+J326+J327+#REF!+J321</f>
        <v>#REF!</v>
      </c>
      <c r="K311" s="178">
        <f>SUM(K312:K328)</f>
        <v>1262605</v>
      </c>
      <c r="L311" s="178">
        <f>SUM(L312:L328)</f>
        <v>5841</v>
      </c>
      <c r="M311" s="178">
        <f>SUM(M312:M328)</f>
        <v>5841</v>
      </c>
      <c r="N311" s="178">
        <f t="shared" si="37"/>
        <v>1262605</v>
      </c>
      <c r="O311" s="178">
        <f>SUM(O312:O328)</f>
        <v>0</v>
      </c>
      <c r="P311" s="178">
        <f>SUM(P312:P328)</f>
        <v>947375</v>
      </c>
      <c r="Q311" s="178">
        <f>SUM(Q312:Q328)</f>
        <v>315230</v>
      </c>
    </row>
    <row r="312" spans="1:17" s="112" customFormat="1" ht="14.25" customHeight="1">
      <c r="A312" s="168"/>
      <c r="B312" s="184" t="s">
        <v>217</v>
      </c>
      <c r="C312" s="37" t="s">
        <v>422</v>
      </c>
      <c r="D312" s="37"/>
      <c r="E312" s="37">
        <v>10492</v>
      </c>
      <c r="F312" s="37">
        <v>0</v>
      </c>
      <c r="G312" s="37">
        <v>0</v>
      </c>
      <c r="H312" s="37">
        <v>2952</v>
      </c>
      <c r="I312" s="37">
        <v>0</v>
      </c>
      <c r="J312" s="37">
        <v>0</v>
      </c>
      <c r="K312" s="37">
        <v>635</v>
      </c>
      <c r="L312" s="37"/>
      <c r="M312" s="37"/>
      <c r="N312" s="37">
        <f t="shared" si="37"/>
        <v>635</v>
      </c>
      <c r="O312" s="37">
        <v>0</v>
      </c>
      <c r="P312" s="172">
        <f aca="true" t="shared" si="40" ref="P312:P327">N312</f>
        <v>635</v>
      </c>
      <c r="Q312" s="172">
        <v>0</v>
      </c>
    </row>
    <row r="313" spans="1:17" s="112" customFormat="1" ht="14.25" customHeight="1">
      <c r="A313" s="168"/>
      <c r="B313" s="184" t="s">
        <v>423</v>
      </c>
      <c r="C313" s="37" t="s">
        <v>424</v>
      </c>
      <c r="D313" s="37"/>
      <c r="E313" s="37">
        <v>101199</v>
      </c>
      <c r="F313" s="37">
        <v>0</v>
      </c>
      <c r="G313" s="37">
        <v>0</v>
      </c>
      <c r="H313" s="37">
        <v>103850</v>
      </c>
      <c r="I313" s="37">
        <v>0</v>
      </c>
      <c r="J313" s="37">
        <v>0</v>
      </c>
      <c r="K313" s="37">
        <v>93595</v>
      </c>
      <c r="L313" s="37"/>
      <c r="M313" s="37"/>
      <c r="N313" s="37">
        <f t="shared" si="37"/>
        <v>93595</v>
      </c>
      <c r="O313" s="37">
        <v>0</v>
      </c>
      <c r="P313" s="172">
        <f t="shared" si="40"/>
        <v>93595</v>
      </c>
      <c r="Q313" s="172">
        <v>0</v>
      </c>
    </row>
    <row r="314" spans="1:17" s="112" customFormat="1" ht="15" customHeight="1">
      <c r="A314" s="168"/>
      <c r="B314" s="184" t="s">
        <v>221</v>
      </c>
      <c r="C314" s="75" t="s">
        <v>258</v>
      </c>
      <c r="D314" s="37">
        <v>956632</v>
      </c>
      <c r="E314" s="37">
        <v>1089025</v>
      </c>
      <c r="F314" s="37">
        <v>0</v>
      </c>
      <c r="G314" s="37">
        <v>0</v>
      </c>
      <c r="H314" s="37">
        <v>335820</v>
      </c>
      <c r="I314" s="37">
        <v>0</v>
      </c>
      <c r="J314" s="37">
        <v>0</v>
      </c>
      <c r="K314" s="37">
        <v>472700</v>
      </c>
      <c r="L314" s="37"/>
      <c r="M314" s="37"/>
      <c r="N314" s="37">
        <f t="shared" si="37"/>
        <v>472700</v>
      </c>
      <c r="O314" s="37">
        <v>0</v>
      </c>
      <c r="P314" s="172">
        <f t="shared" si="40"/>
        <v>472700</v>
      </c>
      <c r="Q314" s="172">
        <v>0</v>
      </c>
    </row>
    <row r="315" spans="1:17" s="112" customFormat="1" ht="14.25" customHeight="1">
      <c r="A315" s="168"/>
      <c r="B315" s="184" t="s">
        <v>225</v>
      </c>
      <c r="C315" s="75" t="s">
        <v>226</v>
      </c>
      <c r="D315" s="75">
        <v>70520</v>
      </c>
      <c r="E315" s="37">
        <v>77400</v>
      </c>
      <c r="F315" s="37">
        <v>0</v>
      </c>
      <c r="G315" s="37">
        <v>0</v>
      </c>
      <c r="H315" s="37">
        <v>29155</v>
      </c>
      <c r="I315" s="37">
        <v>0</v>
      </c>
      <c r="J315" s="37">
        <v>0</v>
      </c>
      <c r="K315" s="37">
        <v>33919</v>
      </c>
      <c r="L315" s="37">
        <v>0</v>
      </c>
      <c r="M315" s="37"/>
      <c r="N315" s="37">
        <f t="shared" si="37"/>
        <v>33919</v>
      </c>
      <c r="O315" s="37">
        <v>0</v>
      </c>
      <c r="P315" s="172">
        <f t="shared" si="40"/>
        <v>33919</v>
      </c>
      <c r="Q315" s="172">
        <v>0</v>
      </c>
    </row>
    <row r="316" spans="1:17" s="112" customFormat="1" ht="15" customHeight="1">
      <c r="A316" s="168"/>
      <c r="B316" s="173" t="s">
        <v>290</v>
      </c>
      <c r="C316" s="75" t="s">
        <v>316</v>
      </c>
      <c r="D316" s="37">
        <v>208573</v>
      </c>
      <c r="E316" s="37">
        <v>207904</v>
      </c>
      <c r="F316" s="37">
        <v>0</v>
      </c>
      <c r="G316" s="37">
        <v>0</v>
      </c>
      <c r="H316" s="37">
        <v>65200</v>
      </c>
      <c r="I316" s="37">
        <v>0</v>
      </c>
      <c r="J316" s="37">
        <v>0</v>
      </c>
      <c r="K316" s="37">
        <v>79627</v>
      </c>
      <c r="L316" s="37"/>
      <c r="M316" s="37"/>
      <c r="N316" s="37">
        <f t="shared" si="37"/>
        <v>79627</v>
      </c>
      <c r="O316" s="37">
        <v>0</v>
      </c>
      <c r="P316" s="172">
        <f t="shared" si="40"/>
        <v>79627</v>
      </c>
      <c r="Q316" s="172">
        <v>0</v>
      </c>
    </row>
    <row r="317" spans="1:17" s="112" customFormat="1" ht="13.5" customHeight="1">
      <c r="A317" s="168"/>
      <c r="B317" s="173" t="s">
        <v>229</v>
      </c>
      <c r="C317" s="75" t="s">
        <v>230</v>
      </c>
      <c r="D317" s="37"/>
      <c r="E317" s="37">
        <v>27489</v>
      </c>
      <c r="F317" s="37">
        <v>0</v>
      </c>
      <c r="G317" s="37">
        <v>0</v>
      </c>
      <c r="H317" s="37">
        <v>8940</v>
      </c>
      <c r="I317" s="37">
        <v>0</v>
      </c>
      <c r="J317" s="37">
        <v>0</v>
      </c>
      <c r="K317" s="37">
        <v>11025</v>
      </c>
      <c r="L317" s="37"/>
      <c r="M317" s="37"/>
      <c r="N317" s="37">
        <f t="shared" si="37"/>
        <v>11025</v>
      </c>
      <c r="O317" s="37">
        <v>0</v>
      </c>
      <c r="P317" s="172">
        <f t="shared" si="40"/>
        <v>11025</v>
      </c>
      <c r="Q317" s="172">
        <v>0</v>
      </c>
    </row>
    <row r="318" spans="1:17" s="112" customFormat="1" ht="13.5" customHeight="1">
      <c r="A318" s="168"/>
      <c r="B318" s="173" t="s">
        <v>261</v>
      </c>
      <c r="C318" s="37" t="s">
        <v>262</v>
      </c>
      <c r="D318" s="37"/>
      <c r="E318" s="37"/>
      <c r="F318" s="37"/>
      <c r="G318" s="37"/>
      <c r="H318" s="37"/>
      <c r="I318" s="37"/>
      <c r="J318" s="37"/>
      <c r="K318" s="37">
        <v>1600</v>
      </c>
      <c r="L318" s="37">
        <v>0</v>
      </c>
      <c r="M318" s="37"/>
      <c r="N318" s="37">
        <f t="shared" si="37"/>
        <v>1600</v>
      </c>
      <c r="O318" s="37"/>
      <c r="P318" s="172">
        <f t="shared" si="40"/>
        <v>1600</v>
      </c>
      <c r="Q318" s="172"/>
    </row>
    <row r="319" spans="1:17" s="112" customFormat="1" ht="14.25" customHeight="1">
      <c r="A319" s="168"/>
      <c r="B319" s="184" t="s">
        <v>231</v>
      </c>
      <c r="C319" s="37" t="s">
        <v>370</v>
      </c>
      <c r="D319" s="37"/>
      <c r="E319" s="37">
        <v>96956</v>
      </c>
      <c r="F319" s="37">
        <v>0</v>
      </c>
      <c r="G319" s="37">
        <v>0</v>
      </c>
      <c r="H319" s="37">
        <v>36573</v>
      </c>
      <c r="I319" s="37">
        <v>0</v>
      </c>
      <c r="J319" s="37">
        <v>0</v>
      </c>
      <c r="K319" s="37">
        <v>42532</v>
      </c>
      <c r="L319" s="37"/>
      <c r="M319" s="37">
        <v>0</v>
      </c>
      <c r="N319" s="37">
        <f t="shared" si="37"/>
        <v>42532</v>
      </c>
      <c r="O319" s="37">
        <v>0</v>
      </c>
      <c r="P319" s="172">
        <f t="shared" si="40"/>
        <v>42532</v>
      </c>
      <c r="Q319" s="172">
        <v>0</v>
      </c>
    </row>
    <row r="320" spans="1:17" s="112" customFormat="1" ht="16.5" customHeight="1">
      <c r="A320" s="168"/>
      <c r="B320" s="184" t="s">
        <v>425</v>
      </c>
      <c r="C320" s="37" t="s">
        <v>426</v>
      </c>
      <c r="D320" s="37"/>
      <c r="E320" s="37">
        <v>188099</v>
      </c>
      <c r="F320" s="37">
        <v>0</v>
      </c>
      <c r="G320" s="37">
        <v>0</v>
      </c>
      <c r="H320" s="49">
        <v>50136</v>
      </c>
      <c r="I320" s="37">
        <v>0</v>
      </c>
      <c r="J320" s="37">
        <v>0</v>
      </c>
      <c r="K320" s="37">
        <v>63000</v>
      </c>
      <c r="L320" s="37"/>
      <c r="M320" s="37"/>
      <c r="N320" s="37">
        <f t="shared" si="37"/>
        <v>63000</v>
      </c>
      <c r="O320" s="37">
        <v>0</v>
      </c>
      <c r="P320" s="172">
        <f t="shared" si="40"/>
        <v>63000</v>
      </c>
      <c r="Q320" s="172">
        <v>0</v>
      </c>
    </row>
    <row r="321" spans="1:17" s="112" customFormat="1" ht="15.75" customHeight="1">
      <c r="A321" s="168"/>
      <c r="B321" s="184" t="s">
        <v>427</v>
      </c>
      <c r="C321" s="37" t="s">
        <v>428</v>
      </c>
      <c r="D321" s="37"/>
      <c r="E321" s="37"/>
      <c r="F321" s="37"/>
      <c r="G321" s="37"/>
      <c r="H321" s="49">
        <v>1500</v>
      </c>
      <c r="I321" s="37">
        <v>0</v>
      </c>
      <c r="J321" s="37">
        <v>0</v>
      </c>
      <c r="K321" s="37">
        <v>2400</v>
      </c>
      <c r="L321" s="37"/>
      <c r="M321" s="37"/>
      <c r="N321" s="37">
        <f t="shared" si="37"/>
        <v>2400</v>
      </c>
      <c r="O321" s="37">
        <v>0</v>
      </c>
      <c r="P321" s="172">
        <f t="shared" si="40"/>
        <v>2400</v>
      </c>
      <c r="Q321" s="172">
        <v>0</v>
      </c>
    </row>
    <row r="322" spans="1:17" s="112" customFormat="1" ht="16.5" customHeight="1">
      <c r="A322" s="168"/>
      <c r="B322" s="184" t="s">
        <v>233</v>
      </c>
      <c r="C322" s="37" t="s">
        <v>291</v>
      </c>
      <c r="D322" s="37"/>
      <c r="E322" s="37">
        <v>82690</v>
      </c>
      <c r="F322" s="37">
        <v>0</v>
      </c>
      <c r="G322" s="37">
        <v>0</v>
      </c>
      <c r="H322" s="37">
        <v>63330</v>
      </c>
      <c r="I322" s="37">
        <v>0</v>
      </c>
      <c r="J322" s="37">
        <v>0</v>
      </c>
      <c r="K322" s="37">
        <v>93865</v>
      </c>
      <c r="L322" s="37"/>
      <c r="M322" s="37">
        <v>5841</v>
      </c>
      <c r="N322" s="37">
        <f t="shared" si="37"/>
        <v>88024</v>
      </c>
      <c r="O322" s="37">
        <v>0</v>
      </c>
      <c r="P322" s="172">
        <f t="shared" si="40"/>
        <v>88024</v>
      </c>
      <c r="Q322" s="172">
        <v>0</v>
      </c>
    </row>
    <row r="323" spans="1:17" s="112" customFormat="1" ht="16.5" customHeight="1">
      <c r="A323" s="168"/>
      <c r="B323" s="184" t="s">
        <v>237</v>
      </c>
      <c r="C323" s="37" t="s">
        <v>297</v>
      </c>
      <c r="D323" s="37"/>
      <c r="E323" s="37">
        <v>39235</v>
      </c>
      <c r="F323" s="37">
        <v>0</v>
      </c>
      <c r="G323" s="37">
        <v>0</v>
      </c>
      <c r="H323" s="37">
        <v>8500</v>
      </c>
      <c r="I323" s="37">
        <v>0</v>
      </c>
      <c r="J323" s="37">
        <v>0</v>
      </c>
      <c r="K323" s="37">
        <v>22260</v>
      </c>
      <c r="L323" s="37"/>
      <c r="M323" s="37"/>
      <c r="N323" s="37">
        <f t="shared" si="37"/>
        <v>22260</v>
      </c>
      <c r="O323" s="37">
        <v>0</v>
      </c>
      <c r="P323" s="172">
        <f t="shared" si="40"/>
        <v>22260</v>
      </c>
      <c r="Q323" s="172">
        <v>0</v>
      </c>
    </row>
    <row r="324" spans="1:17" s="112" customFormat="1" ht="16.5" customHeight="1">
      <c r="A324" s="168"/>
      <c r="B324" s="184" t="s">
        <v>264</v>
      </c>
      <c r="C324" s="37" t="s">
        <v>429</v>
      </c>
      <c r="D324" s="37"/>
      <c r="E324" s="37"/>
      <c r="F324" s="37"/>
      <c r="G324" s="37"/>
      <c r="H324" s="37"/>
      <c r="I324" s="37"/>
      <c r="J324" s="37"/>
      <c r="K324" s="37">
        <v>1908</v>
      </c>
      <c r="L324" s="37"/>
      <c r="M324" s="37"/>
      <c r="N324" s="37">
        <f t="shared" si="37"/>
        <v>1908</v>
      </c>
      <c r="O324" s="37">
        <v>0</v>
      </c>
      <c r="P324" s="172">
        <f t="shared" si="40"/>
        <v>1908</v>
      </c>
      <c r="Q324" s="172">
        <v>0</v>
      </c>
    </row>
    <row r="325" spans="1:17" s="112" customFormat="1" ht="16.5" customHeight="1">
      <c r="A325" s="168"/>
      <c r="B325" s="184" t="s">
        <v>239</v>
      </c>
      <c r="C325" s="37" t="s">
        <v>240</v>
      </c>
      <c r="D325" s="37"/>
      <c r="E325" s="37">
        <v>2500</v>
      </c>
      <c r="F325" s="37">
        <v>0</v>
      </c>
      <c r="G325" s="37">
        <v>0</v>
      </c>
      <c r="H325" s="37">
        <v>500</v>
      </c>
      <c r="I325" s="37">
        <v>0</v>
      </c>
      <c r="J325" s="37">
        <v>0</v>
      </c>
      <c r="K325" s="37">
        <v>2300</v>
      </c>
      <c r="L325" s="37"/>
      <c r="M325" s="37"/>
      <c r="N325" s="37">
        <f t="shared" si="37"/>
        <v>2300</v>
      </c>
      <c r="O325" s="37">
        <v>0</v>
      </c>
      <c r="P325" s="172">
        <f t="shared" si="40"/>
        <v>2300</v>
      </c>
      <c r="Q325" s="172">
        <v>0</v>
      </c>
    </row>
    <row r="326" spans="1:17" s="112" customFormat="1" ht="16.5" customHeight="1">
      <c r="A326" s="168"/>
      <c r="B326" s="184" t="s">
        <v>241</v>
      </c>
      <c r="C326" s="37" t="s">
        <v>242</v>
      </c>
      <c r="D326" s="37"/>
      <c r="E326" s="37">
        <v>3300</v>
      </c>
      <c r="F326" s="37">
        <v>0</v>
      </c>
      <c r="G326" s="37">
        <v>0</v>
      </c>
      <c r="H326" s="37">
        <v>700</v>
      </c>
      <c r="I326" s="37">
        <v>0</v>
      </c>
      <c r="J326" s="37">
        <v>0</v>
      </c>
      <c r="K326" s="37">
        <v>720</v>
      </c>
      <c r="L326" s="37"/>
      <c r="M326" s="37"/>
      <c r="N326" s="37">
        <f t="shared" si="37"/>
        <v>720</v>
      </c>
      <c r="O326" s="37">
        <v>0</v>
      </c>
      <c r="P326" s="172">
        <f t="shared" si="40"/>
        <v>720</v>
      </c>
      <c r="Q326" s="172">
        <v>0</v>
      </c>
    </row>
    <row r="327" spans="1:17" s="112" customFormat="1" ht="14.25" customHeight="1">
      <c r="A327" s="168"/>
      <c r="B327" s="184" t="s">
        <v>243</v>
      </c>
      <c r="C327" s="37" t="s">
        <v>244</v>
      </c>
      <c r="D327" s="37"/>
      <c r="E327" s="37">
        <v>50719</v>
      </c>
      <c r="F327" s="37">
        <v>0</v>
      </c>
      <c r="G327" s="37">
        <v>0</v>
      </c>
      <c r="H327" s="37">
        <v>14000</v>
      </c>
      <c r="I327" s="37">
        <v>0</v>
      </c>
      <c r="J327" s="37">
        <v>0</v>
      </c>
      <c r="K327" s="37">
        <v>25289</v>
      </c>
      <c r="L327" s="37">
        <v>5841</v>
      </c>
      <c r="M327" s="37"/>
      <c r="N327" s="37">
        <f t="shared" si="37"/>
        <v>31130</v>
      </c>
      <c r="O327" s="37">
        <v>0</v>
      </c>
      <c r="P327" s="172">
        <f t="shared" si="40"/>
        <v>31130</v>
      </c>
      <c r="Q327" s="172">
        <v>0</v>
      </c>
    </row>
    <row r="328" spans="1:17" s="112" customFormat="1" ht="21.75" customHeight="1">
      <c r="A328" s="168"/>
      <c r="B328" s="184" t="s">
        <v>154</v>
      </c>
      <c r="C328" s="84" t="s">
        <v>430</v>
      </c>
      <c r="D328" s="37"/>
      <c r="E328" s="37"/>
      <c r="F328" s="37"/>
      <c r="G328" s="37"/>
      <c r="H328" s="37"/>
      <c r="I328" s="37"/>
      <c r="J328" s="37"/>
      <c r="K328" s="37">
        <v>315230</v>
      </c>
      <c r="L328" s="37"/>
      <c r="M328" s="37"/>
      <c r="N328" s="37">
        <f t="shared" si="37"/>
        <v>315230</v>
      </c>
      <c r="O328" s="37">
        <v>0</v>
      </c>
      <c r="P328" s="172">
        <v>0</v>
      </c>
      <c r="Q328" s="172">
        <f>N328</f>
        <v>315230</v>
      </c>
    </row>
    <row r="329" spans="1:17" s="112" customFormat="1" ht="15.75" customHeight="1">
      <c r="A329" s="186" t="s">
        <v>150</v>
      </c>
      <c r="B329" s="186"/>
      <c r="C329" s="181" t="s">
        <v>149</v>
      </c>
      <c r="D329" s="178">
        <f>D330+D331+D332+D333</f>
        <v>722000</v>
      </c>
      <c r="E329" s="178" t="e">
        <f>E330+E331+E332+E333+#REF!+E340+E334+E335+E336+E337+#REF!+E339+#REF!+E341+E342+E343</f>
        <v>#REF!</v>
      </c>
      <c r="F329" s="178" t="e">
        <f>F330+F331+F332+F333+#REF!+F340+F334+F335+F336+F337+#REF!+F339+#REF!+F341+F342+F343</f>
        <v>#REF!</v>
      </c>
      <c r="G329" s="178" t="e">
        <f>G330+G331+G332+G333+#REF!+G340+G334+G335+G336+G337+#REF!+G339+#REF!+G341+G342+G343</f>
        <v>#REF!</v>
      </c>
      <c r="H329" s="178" t="e">
        <f>H330+H331+H332+H333+#REF!+H340+H334+H335+H336+H337+H339+#REF!+H341+H342+H343+H344+H338</f>
        <v>#REF!</v>
      </c>
      <c r="I329" s="178" t="e">
        <f>I330+I331+I332+I333+#REF!+I340+I334+I335+I336+I337+I339+#REF!+I341+I342+I343+I344+I338</f>
        <v>#REF!</v>
      </c>
      <c r="J329" s="178" t="e">
        <f>J330+J331+J332+J333+#REF!+J340+J334+J335+J336+J337+J339+#REF!+J341+J342+J343+J344+J338</f>
        <v>#REF!</v>
      </c>
      <c r="K329" s="178">
        <f>SUM(K330:K344)</f>
        <v>862085</v>
      </c>
      <c r="L329" s="178">
        <f>SUM(L330:L344)</f>
        <v>0</v>
      </c>
      <c r="M329" s="178">
        <f>SUM(M330:M344)</f>
        <v>0</v>
      </c>
      <c r="N329" s="178">
        <f t="shared" si="37"/>
        <v>862085</v>
      </c>
      <c r="O329" s="178">
        <f>SUM(O330:O344)</f>
        <v>0</v>
      </c>
      <c r="P329" s="178">
        <f>SUM(P330:P344)</f>
        <v>862085</v>
      </c>
      <c r="Q329" s="178">
        <f>SUM(Q330:Q344)</f>
        <v>0</v>
      </c>
    </row>
    <row r="330" spans="1:17" s="112" customFormat="1" ht="14.25" customHeight="1">
      <c r="A330" s="171"/>
      <c r="B330" s="184" t="s">
        <v>221</v>
      </c>
      <c r="C330" s="75" t="s">
        <v>258</v>
      </c>
      <c r="D330" s="37">
        <v>365300</v>
      </c>
      <c r="E330" s="37">
        <v>330000</v>
      </c>
      <c r="F330" s="37">
        <v>17400</v>
      </c>
      <c r="G330" s="37">
        <v>0</v>
      </c>
      <c r="H330" s="37">
        <v>350982</v>
      </c>
      <c r="I330" s="37">
        <v>0</v>
      </c>
      <c r="J330" s="37">
        <v>0</v>
      </c>
      <c r="K330" s="37">
        <v>393290</v>
      </c>
      <c r="L330" s="37"/>
      <c r="M330" s="37"/>
      <c r="N330" s="37">
        <f t="shared" si="37"/>
        <v>393290</v>
      </c>
      <c r="O330" s="37">
        <v>0</v>
      </c>
      <c r="P330" s="172">
        <f aca="true" t="shared" si="41" ref="P330:P344">N330</f>
        <v>393290</v>
      </c>
      <c r="Q330" s="172">
        <v>0</v>
      </c>
    </row>
    <row r="331" spans="1:17" s="112" customFormat="1" ht="14.25" customHeight="1">
      <c r="A331" s="171"/>
      <c r="B331" s="184" t="s">
        <v>225</v>
      </c>
      <c r="C331" s="75" t="s">
        <v>226</v>
      </c>
      <c r="D331" s="37">
        <v>30580</v>
      </c>
      <c r="E331" s="37">
        <v>31050</v>
      </c>
      <c r="F331" s="37">
        <v>0</v>
      </c>
      <c r="G331" s="37">
        <v>0</v>
      </c>
      <c r="H331" s="37">
        <v>23796</v>
      </c>
      <c r="I331" s="37">
        <v>0</v>
      </c>
      <c r="J331" s="37">
        <v>0</v>
      </c>
      <c r="K331" s="37">
        <v>31265</v>
      </c>
      <c r="L331" s="37"/>
      <c r="M331" s="37"/>
      <c r="N331" s="37">
        <f t="shared" si="37"/>
        <v>31265</v>
      </c>
      <c r="O331" s="37">
        <v>0</v>
      </c>
      <c r="P331" s="172">
        <f t="shared" si="41"/>
        <v>31265</v>
      </c>
      <c r="Q331" s="172">
        <v>0</v>
      </c>
    </row>
    <row r="332" spans="1:17" s="112" customFormat="1" ht="14.25" customHeight="1">
      <c r="A332" s="171"/>
      <c r="B332" s="173" t="s">
        <v>290</v>
      </c>
      <c r="C332" s="75" t="s">
        <v>316</v>
      </c>
      <c r="D332" s="37">
        <v>77860</v>
      </c>
      <c r="E332" s="37">
        <v>64495</v>
      </c>
      <c r="F332" s="37">
        <v>0</v>
      </c>
      <c r="G332" s="37">
        <v>0</v>
      </c>
      <c r="H332" s="37">
        <v>73896</v>
      </c>
      <c r="I332" s="37">
        <v>0</v>
      </c>
      <c r="J332" s="37">
        <v>0</v>
      </c>
      <c r="K332" s="37">
        <v>69029</v>
      </c>
      <c r="L332" s="37"/>
      <c r="M332" s="37"/>
      <c r="N332" s="37">
        <f t="shared" si="37"/>
        <v>69029</v>
      </c>
      <c r="O332" s="37">
        <v>0</v>
      </c>
      <c r="P332" s="172">
        <f t="shared" si="41"/>
        <v>69029</v>
      </c>
      <c r="Q332" s="172">
        <v>0</v>
      </c>
    </row>
    <row r="333" spans="1:17" s="112" customFormat="1" ht="12.75" customHeight="1">
      <c r="A333" s="171"/>
      <c r="B333" s="184" t="s">
        <v>229</v>
      </c>
      <c r="C333" s="37" t="s">
        <v>230</v>
      </c>
      <c r="D333" s="37">
        <v>248260</v>
      </c>
      <c r="E333" s="37">
        <v>8850</v>
      </c>
      <c r="F333" s="37">
        <v>0</v>
      </c>
      <c r="G333" s="37">
        <v>0</v>
      </c>
      <c r="H333" s="37">
        <v>9182</v>
      </c>
      <c r="I333" s="37">
        <v>0</v>
      </c>
      <c r="J333" s="37">
        <v>0</v>
      </c>
      <c r="K333" s="37">
        <v>9539</v>
      </c>
      <c r="L333" s="37"/>
      <c r="M333" s="37"/>
      <c r="N333" s="37">
        <f t="shared" si="37"/>
        <v>9539</v>
      </c>
      <c r="O333" s="37">
        <v>0</v>
      </c>
      <c r="P333" s="172">
        <f t="shared" si="41"/>
        <v>9539</v>
      </c>
      <c r="Q333" s="172">
        <v>0</v>
      </c>
    </row>
    <row r="334" spans="1:17" s="112" customFormat="1" ht="13.5" customHeight="1">
      <c r="A334" s="171"/>
      <c r="B334" s="184" t="s">
        <v>231</v>
      </c>
      <c r="C334" s="37" t="s">
        <v>370</v>
      </c>
      <c r="D334" s="37"/>
      <c r="E334" s="37">
        <v>6795</v>
      </c>
      <c r="F334" s="37">
        <v>474</v>
      </c>
      <c r="G334" s="37">
        <v>0</v>
      </c>
      <c r="H334" s="49">
        <v>21937</v>
      </c>
      <c r="I334" s="37">
        <v>0</v>
      </c>
      <c r="J334" s="37">
        <v>0</v>
      </c>
      <c r="K334" s="37">
        <v>18800</v>
      </c>
      <c r="L334" s="37"/>
      <c r="M334" s="37"/>
      <c r="N334" s="37">
        <f t="shared" si="37"/>
        <v>18800</v>
      </c>
      <c r="O334" s="37">
        <v>0</v>
      </c>
      <c r="P334" s="172">
        <f t="shared" si="41"/>
        <v>18800</v>
      </c>
      <c r="Q334" s="172">
        <v>0</v>
      </c>
    </row>
    <row r="335" spans="1:17" s="112" customFormat="1" ht="14.25" customHeight="1">
      <c r="A335" s="171"/>
      <c r="B335" s="184" t="s">
        <v>425</v>
      </c>
      <c r="C335" s="37" t="s">
        <v>426</v>
      </c>
      <c r="D335" s="37"/>
      <c r="E335" s="37">
        <v>40000</v>
      </c>
      <c r="F335" s="37">
        <v>10000</v>
      </c>
      <c r="G335" s="37">
        <v>0</v>
      </c>
      <c r="H335" s="49">
        <v>76000</v>
      </c>
      <c r="I335" s="37">
        <v>0</v>
      </c>
      <c r="J335" s="37">
        <v>0</v>
      </c>
      <c r="K335" s="37">
        <v>1000</v>
      </c>
      <c r="L335" s="37"/>
      <c r="M335" s="37"/>
      <c r="N335" s="37">
        <f t="shared" si="37"/>
        <v>1000</v>
      </c>
      <c r="O335" s="37">
        <v>0</v>
      </c>
      <c r="P335" s="172">
        <f t="shared" si="41"/>
        <v>1000</v>
      </c>
      <c r="Q335" s="172">
        <v>0</v>
      </c>
    </row>
    <row r="336" spans="1:17" s="112" customFormat="1" ht="12.75" customHeight="1">
      <c r="A336" s="171"/>
      <c r="B336" s="184" t="s">
        <v>427</v>
      </c>
      <c r="C336" s="37" t="s">
        <v>428</v>
      </c>
      <c r="D336" s="37"/>
      <c r="E336" s="37">
        <v>4000</v>
      </c>
      <c r="F336" s="37">
        <v>0</v>
      </c>
      <c r="G336" s="37">
        <v>0</v>
      </c>
      <c r="H336" s="49">
        <v>5800</v>
      </c>
      <c r="I336" s="37">
        <v>0</v>
      </c>
      <c r="J336" s="37">
        <v>0</v>
      </c>
      <c r="K336" s="37">
        <v>7500</v>
      </c>
      <c r="L336" s="37"/>
      <c r="M336" s="37"/>
      <c r="N336" s="37">
        <f t="shared" si="37"/>
        <v>7500</v>
      </c>
      <c r="O336" s="37">
        <v>0</v>
      </c>
      <c r="P336" s="172">
        <f t="shared" si="41"/>
        <v>7500</v>
      </c>
      <c r="Q336" s="172">
        <v>0</v>
      </c>
    </row>
    <row r="337" spans="1:17" s="112" customFormat="1" ht="14.25" customHeight="1">
      <c r="A337" s="171"/>
      <c r="B337" s="184" t="s">
        <v>233</v>
      </c>
      <c r="C337" s="37" t="s">
        <v>291</v>
      </c>
      <c r="D337" s="37"/>
      <c r="E337" s="37">
        <v>62480</v>
      </c>
      <c r="F337" s="37">
        <v>4000</v>
      </c>
      <c r="G337" s="37">
        <v>0</v>
      </c>
      <c r="H337" s="49">
        <v>89314</v>
      </c>
      <c r="I337" s="37">
        <v>0</v>
      </c>
      <c r="J337" s="37">
        <v>0</v>
      </c>
      <c r="K337" s="37">
        <v>46340</v>
      </c>
      <c r="L337" s="37"/>
      <c r="M337" s="37"/>
      <c r="N337" s="37">
        <f t="shared" si="37"/>
        <v>46340</v>
      </c>
      <c r="O337" s="37">
        <v>0</v>
      </c>
      <c r="P337" s="172">
        <f t="shared" si="41"/>
        <v>46340</v>
      </c>
      <c r="Q337" s="172">
        <v>0</v>
      </c>
    </row>
    <row r="338" spans="1:17" s="112" customFormat="1" ht="14.25" customHeight="1">
      <c r="A338" s="171"/>
      <c r="B338" s="184" t="s">
        <v>264</v>
      </c>
      <c r="C338" s="37" t="s">
        <v>265</v>
      </c>
      <c r="D338" s="37"/>
      <c r="E338" s="37"/>
      <c r="F338" s="37"/>
      <c r="G338" s="37"/>
      <c r="H338" s="49">
        <v>7119</v>
      </c>
      <c r="I338" s="37">
        <v>0</v>
      </c>
      <c r="J338" s="37">
        <v>0</v>
      </c>
      <c r="K338" s="37">
        <v>500</v>
      </c>
      <c r="L338" s="37"/>
      <c r="M338" s="37"/>
      <c r="N338" s="37">
        <f t="shared" si="37"/>
        <v>500</v>
      </c>
      <c r="O338" s="37">
        <v>0</v>
      </c>
      <c r="P338" s="172">
        <f t="shared" si="41"/>
        <v>500</v>
      </c>
      <c r="Q338" s="172">
        <v>0</v>
      </c>
    </row>
    <row r="339" spans="1:17" s="112" customFormat="1" ht="15.75" customHeight="1">
      <c r="A339" s="171"/>
      <c r="B339" s="184" t="s">
        <v>237</v>
      </c>
      <c r="C339" s="37" t="s">
        <v>297</v>
      </c>
      <c r="D339" s="37"/>
      <c r="E339" s="37">
        <v>5000</v>
      </c>
      <c r="F339" s="37">
        <v>0</v>
      </c>
      <c r="G339" s="37">
        <v>0</v>
      </c>
      <c r="H339" s="49">
        <v>32500</v>
      </c>
      <c r="I339" s="37">
        <v>0</v>
      </c>
      <c r="J339" s="37">
        <v>0</v>
      </c>
      <c r="K339" s="37">
        <v>155650</v>
      </c>
      <c r="L339" s="37"/>
      <c r="M339" s="37"/>
      <c r="N339" s="37">
        <f t="shared" si="37"/>
        <v>155650</v>
      </c>
      <c r="O339" s="37">
        <v>0</v>
      </c>
      <c r="P339" s="172">
        <f t="shared" si="41"/>
        <v>155650</v>
      </c>
      <c r="Q339" s="172">
        <v>0</v>
      </c>
    </row>
    <row r="340" spans="1:17" s="112" customFormat="1" ht="15.75" customHeight="1">
      <c r="A340" s="171"/>
      <c r="B340" s="184" t="s">
        <v>239</v>
      </c>
      <c r="C340" s="37" t="s">
        <v>240</v>
      </c>
      <c r="D340" s="37"/>
      <c r="E340" s="37">
        <v>1000</v>
      </c>
      <c r="F340" s="37">
        <v>0</v>
      </c>
      <c r="G340" s="37">
        <v>0</v>
      </c>
      <c r="H340" s="49">
        <v>1050</v>
      </c>
      <c r="I340" s="37">
        <v>0</v>
      </c>
      <c r="J340" s="37">
        <v>0</v>
      </c>
      <c r="K340" s="37">
        <v>800</v>
      </c>
      <c r="L340" s="37"/>
      <c r="M340" s="37"/>
      <c r="N340" s="37">
        <f t="shared" si="37"/>
        <v>800</v>
      </c>
      <c r="O340" s="37">
        <v>0</v>
      </c>
      <c r="P340" s="172">
        <f t="shared" si="41"/>
        <v>800</v>
      </c>
      <c r="Q340" s="172">
        <v>0</v>
      </c>
    </row>
    <row r="341" spans="1:17" s="112" customFormat="1" ht="13.5" customHeight="1">
      <c r="A341" s="171"/>
      <c r="B341" s="184" t="s">
        <v>243</v>
      </c>
      <c r="C341" s="37" t="s">
        <v>244</v>
      </c>
      <c r="D341" s="37"/>
      <c r="E341" s="37">
        <v>13110</v>
      </c>
      <c r="F341" s="37">
        <v>0</v>
      </c>
      <c r="G341" s="37">
        <v>0</v>
      </c>
      <c r="H341" s="37">
        <v>14000</v>
      </c>
      <c r="I341" s="37">
        <v>0</v>
      </c>
      <c r="J341" s="37">
        <v>0</v>
      </c>
      <c r="K341" s="37">
        <v>15408</v>
      </c>
      <c r="L341" s="37"/>
      <c r="M341" s="37"/>
      <c r="N341" s="37">
        <f t="shared" si="37"/>
        <v>15408</v>
      </c>
      <c r="O341" s="37">
        <v>0</v>
      </c>
      <c r="P341" s="172">
        <f t="shared" si="41"/>
        <v>15408</v>
      </c>
      <c r="Q341" s="172">
        <v>0</v>
      </c>
    </row>
    <row r="342" spans="1:17" s="112" customFormat="1" ht="14.25" customHeight="1">
      <c r="A342" s="171"/>
      <c r="B342" s="184" t="s">
        <v>266</v>
      </c>
      <c r="C342" s="37" t="s">
        <v>267</v>
      </c>
      <c r="D342" s="37"/>
      <c r="E342" s="37">
        <v>1000</v>
      </c>
      <c r="F342" s="37">
        <v>0</v>
      </c>
      <c r="G342" s="37">
        <v>60</v>
      </c>
      <c r="H342" s="37">
        <v>1896</v>
      </c>
      <c r="I342" s="37">
        <v>0</v>
      </c>
      <c r="J342" s="37">
        <v>0</v>
      </c>
      <c r="K342" s="37">
        <v>2538</v>
      </c>
      <c r="L342" s="37"/>
      <c r="M342" s="37"/>
      <c r="N342" s="37">
        <f t="shared" si="37"/>
        <v>2538</v>
      </c>
      <c r="O342" s="37">
        <v>0</v>
      </c>
      <c r="P342" s="172">
        <f t="shared" si="41"/>
        <v>2538</v>
      </c>
      <c r="Q342" s="172">
        <v>0</v>
      </c>
    </row>
    <row r="343" spans="1:17" s="112" customFormat="1" ht="15" customHeight="1">
      <c r="A343" s="171"/>
      <c r="B343" s="184" t="s">
        <v>281</v>
      </c>
      <c r="C343" s="37" t="s">
        <v>431</v>
      </c>
      <c r="D343" s="37"/>
      <c r="E343" s="37">
        <v>500</v>
      </c>
      <c r="F343" s="37">
        <v>0</v>
      </c>
      <c r="G343" s="37">
        <v>70</v>
      </c>
      <c r="H343" s="37">
        <v>427</v>
      </c>
      <c r="I343" s="37">
        <v>0</v>
      </c>
      <c r="J343" s="37">
        <v>0</v>
      </c>
      <c r="K343" s="37">
        <v>426</v>
      </c>
      <c r="L343" s="37"/>
      <c r="M343" s="37"/>
      <c r="N343" s="37">
        <f t="shared" si="37"/>
        <v>426</v>
      </c>
      <c r="O343" s="37">
        <v>0</v>
      </c>
      <c r="P343" s="172">
        <f t="shared" si="41"/>
        <v>426</v>
      </c>
      <c r="Q343" s="172">
        <v>0</v>
      </c>
    </row>
    <row r="344" spans="1:17" s="112" customFormat="1" ht="12.75" customHeight="1">
      <c r="A344" s="171"/>
      <c r="B344" s="184" t="s">
        <v>268</v>
      </c>
      <c r="C344" s="37" t="s">
        <v>432</v>
      </c>
      <c r="D344" s="37"/>
      <c r="E344" s="37"/>
      <c r="F344" s="37"/>
      <c r="G344" s="37"/>
      <c r="H344" s="37">
        <v>126026</v>
      </c>
      <c r="I344" s="37">
        <v>0</v>
      </c>
      <c r="J344" s="37">
        <v>0</v>
      </c>
      <c r="K344" s="37">
        <v>110000</v>
      </c>
      <c r="L344" s="37"/>
      <c r="M344" s="37"/>
      <c r="N344" s="37">
        <f t="shared" si="37"/>
        <v>110000</v>
      </c>
      <c r="O344" s="37">
        <v>0</v>
      </c>
      <c r="P344" s="172">
        <f t="shared" si="41"/>
        <v>110000</v>
      </c>
      <c r="Q344" s="172">
        <v>0</v>
      </c>
    </row>
    <row r="345" spans="1:17" s="112" customFormat="1" ht="15.75" customHeight="1">
      <c r="A345" s="175" t="s">
        <v>153</v>
      </c>
      <c r="B345" s="210"/>
      <c r="C345" s="181" t="s">
        <v>433</v>
      </c>
      <c r="D345" s="178">
        <f>D348</f>
        <v>1308000</v>
      </c>
      <c r="E345" s="178">
        <f>E348</f>
        <v>1138000</v>
      </c>
      <c r="F345" s="178">
        <f>F348</f>
        <v>0</v>
      </c>
      <c r="G345" s="178">
        <f>G348</f>
        <v>0</v>
      </c>
      <c r="H345" s="178">
        <f>H348+H349</f>
        <v>744716</v>
      </c>
      <c r="I345" s="178">
        <f>I348+I349</f>
        <v>0</v>
      </c>
      <c r="J345" s="178">
        <f>J348+J349</f>
        <v>0</v>
      </c>
      <c r="K345" s="178">
        <f>K346+K347+K348+K349</f>
        <v>952360</v>
      </c>
      <c r="L345" s="178">
        <f>L346+L347+L348+L349</f>
        <v>7294</v>
      </c>
      <c r="M345" s="178">
        <f>M346+M347+M348+M349</f>
        <v>7294</v>
      </c>
      <c r="N345" s="178">
        <f t="shared" si="37"/>
        <v>952360</v>
      </c>
      <c r="O345" s="178">
        <f>O346+O347+O348+O349</f>
        <v>0</v>
      </c>
      <c r="P345" s="178">
        <f>P346+P347+P348+P349</f>
        <v>927860</v>
      </c>
      <c r="Q345" s="178">
        <f>Q346+Q347+Q348+Q349</f>
        <v>24500</v>
      </c>
    </row>
    <row r="346" spans="1:17" s="112" customFormat="1" ht="15.75" customHeight="1">
      <c r="A346" s="174"/>
      <c r="B346" s="184" t="s">
        <v>248</v>
      </c>
      <c r="C346" s="42" t="s">
        <v>434</v>
      </c>
      <c r="D346" s="81"/>
      <c r="E346" s="81"/>
      <c r="F346" s="81"/>
      <c r="G346" s="81"/>
      <c r="H346" s="81"/>
      <c r="I346" s="81"/>
      <c r="J346" s="81"/>
      <c r="K346" s="49">
        <v>10679</v>
      </c>
      <c r="L346" s="49"/>
      <c r="M346" s="81"/>
      <c r="N346" s="37">
        <f t="shared" si="37"/>
        <v>10679</v>
      </c>
      <c r="O346" s="49">
        <v>0</v>
      </c>
      <c r="P346" s="49">
        <v>0</v>
      </c>
      <c r="Q346" s="49">
        <f>N346</f>
        <v>10679</v>
      </c>
    </row>
    <row r="347" spans="1:17" s="112" customFormat="1" ht="15.75" customHeight="1">
      <c r="A347" s="174"/>
      <c r="B347" s="184" t="s">
        <v>154</v>
      </c>
      <c r="C347" s="42" t="s">
        <v>435</v>
      </c>
      <c r="D347" s="81"/>
      <c r="E347" s="81"/>
      <c r="F347" s="81"/>
      <c r="G347" s="81"/>
      <c r="H347" s="81"/>
      <c r="I347" s="81"/>
      <c r="J347" s="81"/>
      <c r="K347" s="49">
        <v>6527</v>
      </c>
      <c r="L347" s="49">
        <v>7294</v>
      </c>
      <c r="M347" s="81"/>
      <c r="N347" s="37">
        <f t="shared" si="37"/>
        <v>13821</v>
      </c>
      <c r="O347" s="49">
        <v>0</v>
      </c>
      <c r="P347" s="49">
        <v>0</v>
      </c>
      <c r="Q347" s="49">
        <f>N347</f>
        <v>13821</v>
      </c>
    </row>
    <row r="348" spans="1:17" s="112" customFormat="1" ht="13.5" customHeight="1">
      <c r="A348" s="174"/>
      <c r="B348" s="184" t="s">
        <v>423</v>
      </c>
      <c r="C348" s="42" t="s">
        <v>424</v>
      </c>
      <c r="D348" s="49">
        <v>1308000</v>
      </c>
      <c r="E348" s="49">
        <v>1138000</v>
      </c>
      <c r="F348" s="49">
        <v>0</v>
      </c>
      <c r="G348" s="49">
        <v>0</v>
      </c>
      <c r="H348" s="37">
        <v>728506</v>
      </c>
      <c r="I348" s="37">
        <v>0</v>
      </c>
      <c r="J348" s="37">
        <v>0</v>
      </c>
      <c r="K348" s="37">
        <v>918944</v>
      </c>
      <c r="L348" s="37"/>
      <c r="M348" s="37">
        <v>7294</v>
      </c>
      <c r="N348" s="37">
        <f aca="true" t="shared" si="42" ref="N348:N411">K348+L348-M348</f>
        <v>911650</v>
      </c>
      <c r="O348" s="49">
        <v>0</v>
      </c>
      <c r="P348" s="170">
        <f>N348</f>
        <v>911650</v>
      </c>
      <c r="Q348" s="170">
        <v>0</v>
      </c>
    </row>
    <row r="349" spans="1:17" s="112" customFormat="1" ht="16.5" customHeight="1">
      <c r="A349" s="174"/>
      <c r="B349" s="184" t="s">
        <v>231</v>
      </c>
      <c r="C349" s="42" t="s">
        <v>263</v>
      </c>
      <c r="D349" s="49"/>
      <c r="E349" s="49"/>
      <c r="F349" s="49"/>
      <c r="G349" s="49"/>
      <c r="H349" s="37">
        <v>16210</v>
      </c>
      <c r="I349" s="37">
        <v>0</v>
      </c>
      <c r="J349" s="37">
        <v>0</v>
      </c>
      <c r="K349" s="37">
        <v>16210</v>
      </c>
      <c r="L349" s="37"/>
      <c r="M349" s="37"/>
      <c r="N349" s="37">
        <f t="shared" si="42"/>
        <v>16210</v>
      </c>
      <c r="O349" s="49">
        <v>0</v>
      </c>
      <c r="P349" s="170">
        <f>N349</f>
        <v>16210</v>
      </c>
      <c r="Q349" s="170">
        <v>0</v>
      </c>
    </row>
    <row r="350" spans="1:17" s="112" customFormat="1" ht="24.75" customHeight="1">
      <c r="A350" s="175" t="s">
        <v>156</v>
      </c>
      <c r="B350" s="210"/>
      <c r="C350" s="181" t="s">
        <v>436</v>
      </c>
      <c r="D350" s="178" t="e">
        <f>D351+D352+D353+#REF!</f>
        <v>#REF!</v>
      </c>
      <c r="E350" s="178" t="e">
        <f>E351+E352+E353+E354+#REF!+E356+E357+E358+E360+E362</f>
        <v>#REF!</v>
      </c>
      <c r="F350" s="178" t="e">
        <f>F351+F352+F353+F354+#REF!+F356+F357+F358+F360+F362</f>
        <v>#REF!</v>
      </c>
      <c r="G350" s="178" t="e">
        <f>G351+G352+G353+G354+#REF!+G356+G357+G358+G360+G362</f>
        <v>#REF!</v>
      </c>
      <c r="H350" s="178">
        <f>H351+H352+H353+H354+H356+H357+H358+H360+H362</f>
        <v>132083</v>
      </c>
      <c r="I350" s="178">
        <f>I351+I352+I353+I354+I356+I357+I358+I360+I362</f>
        <v>0</v>
      </c>
      <c r="J350" s="178">
        <f>J351+J352+J353+J354+J356+J357+J358+J360+J362</f>
        <v>0</v>
      </c>
      <c r="K350" s="178">
        <f>K351+K352+K353+K354+K355+K356+K357+K358+K359+K360+K361+K362</f>
        <v>218864</v>
      </c>
      <c r="L350" s="178">
        <f>L351+L352+L353+L354+L355+L356+L357+L358+L359+L360+L361+L362</f>
        <v>1455</v>
      </c>
      <c r="M350" s="178">
        <f>M351+M352+M353+M354+M355+M356+M357+M358+M359+M360+M361+M362</f>
        <v>1455</v>
      </c>
      <c r="N350" s="178">
        <f t="shared" si="42"/>
        <v>218864</v>
      </c>
      <c r="O350" s="178">
        <f>O351+O352+O353+O354+O355+O356+O357+O358+O359+O360+O361+O362</f>
        <v>0</v>
      </c>
      <c r="P350" s="179">
        <f>P351+P352+P353+P354+P355+P356+P357+P358+P359+P360+P361+P362</f>
        <v>218864</v>
      </c>
      <c r="Q350" s="179">
        <f>Q351+Q352+Q353+Q354+Q355+Q356+Q357+Q358+Q359+Q360+Q361+Q362</f>
        <v>0</v>
      </c>
    </row>
    <row r="351" spans="1:17" s="112" customFormat="1" ht="17.25" customHeight="1">
      <c r="A351" s="527"/>
      <c r="B351" s="184" t="s">
        <v>221</v>
      </c>
      <c r="C351" s="75" t="s">
        <v>258</v>
      </c>
      <c r="D351" s="37">
        <v>85744</v>
      </c>
      <c r="E351" s="37">
        <v>121480</v>
      </c>
      <c r="F351" s="37">
        <v>0</v>
      </c>
      <c r="G351" s="37">
        <v>2671</v>
      </c>
      <c r="H351" s="37">
        <v>72999</v>
      </c>
      <c r="I351" s="37">
        <v>0</v>
      </c>
      <c r="J351" s="37">
        <v>0</v>
      </c>
      <c r="K351" s="37">
        <v>130920</v>
      </c>
      <c r="L351" s="37">
        <v>115</v>
      </c>
      <c r="M351" s="37"/>
      <c r="N351" s="37">
        <f t="shared" si="42"/>
        <v>131035</v>
      </c>
      <c r="O351" s="37">
        <v>0</v>
      </c>
      <c r="P351" s="172">
        <f aca="true" t="shared" si="43" ref="P351:P362">N351-O351</f>
        <v>131035</v>
      </c>
      <c r="Q351" s="172">
        <v>0</v>
      </c>
    </row>
    <row r="352" spans="1:17" s="112" customFormat="1" ht="15" customHeight="1">
      <c r="A352" s="527"/>
      <c r="B352" s="36" t="s">
        <v>225</v>
      </c>
      <c r="C352" s="75" t="s">
        <v>226</v>
      </c>
      <c r="D352" s="37">
        <v>4800</v>
      </c>
      <c r="E352" s="37">
        <v>6578</v>
      </c>
      <c r="F352" s="37">
        <v>0</v>
      </c>
      <c r="G352" s="37">
        <v>0</v>
      </c>
      <c r="H352" s="49">
        <v>5710</v>
      </c>
      <c r="I352" s="37">
        <v>0</v>
      </c>
      <c r="J352" s="37">
        <v>0</v>
      </c>
      <c r="K352" s="37">
        <v>13952</v>
      </c>
      <c r="L352" s="37"/>
      <c r="M352" s="37">
        <v>115</v>
      </c>
      <c r="N352" s="37">
        <f t="shared" si="42"/>
        <v>13837</v>
      </c>
      <c r="O352" s="37">
        <v>0</v>
      </c>
      <c r="P352" s="172">
        <f t="shared" si="43"/>
        <v>13837</v>
      </c>
      <c r="Q352" s="172">
        <v>0</v>
      </c>
    </row>
    <row r="353" spans="1:17" s="112" customFormat="1" ht="14.25" customHeight="1">
      <c r="A353" s="527"/>
      <c r="B353" s="173" t="s">
        <v>290</v>
      </c>
      <c r="C353" s="75" t="s">
        <v>260</v>
      </c>
      <c r="D353" s="37">
        <v>18394</v>
      </c>
      <c r="E353" s="37">
        <v>22179</v>
      </c>
      <c r="F353" s="37">
        <v>0</v>
      </c>
      <c r="G353" s="37">
        <v>0</v>
      </c>
      <c r="H353" s="49">
        <v>14515</v>
      </c>
      <c r="I353" s="37">
        <v>0</v>
      </c>
      <c r="J353" s="37">
        <v>0</v>
      </c>
      <c r="K353" s="37">
        <v>26352</v>
      </c>
      <c r="L353" s="37"/>
      <c r="M353" s="37"/>
      <c r="N353" s="37">
        <f t="shared" si="42"/>
        <v>26352</v>
      </c>
      <c r="O353" s="37">
        <v>0</v>
      </c>
      <c r="P353" s="172">
        <f t="shared" si="43"/>
        <v>26352</v>
      </c>
      <c r="Q353" s="172">
        <v>0</v>
      </c>
    </row>
    <row r="354" spans="1:17" s="112" customFormat="1" ht="15.75" customHeight="1">
      <c r="A354" s="527"/>
      <c r="B354" s="173" t="s">
        <v>229</v>
      </c>
      <c r="C354" s="75" t="s">
        <v>230</v>
      </c>
      <c r="D354" s="37"/>
      <c r="E354" s="37">
        <v>3039</v>
      </c>
      <c r="F354" s="37">
        <v>0</v>
      </c>
      <c r="G354" s="37">
        <v>0</v>
      </c>
      <c r="H354" s="49">
        <v>1927</v>
      </c>
      <c r="I354" s="37">
        <v>0</v>
      </c>
      <c r="J354" s="37">
        <v>0</v>
      </c>
      <c r="K354" s="37">
        <v>3549</v>
      </c>
      <c r="L354" s="37"/>
      <c r="M354" s="37"/>
      <c r="N354" s="37">
        <f t="shared" si="42"/>
        <v>3549</v>
      </c>
      <c r="O354" s="37">
        <v>0</v>
      </c>
      <c r="P354" s="172">
        <f t="shared" si="43"/>
        <v>3549</v>
      </c>
      <c r="Q354" s="172">
        <v>0</v>
      </c>
    </row>
    <row r="355" spans="1:17" s="112" customFormat="1" ht="22.5" customHeight="1">
      <c r="A355" s="171"/>
      <c r="B355" s="184" t="s">
        <v>261</v>
      </c>
      <c r="C355" s="37" t="s">
        <v>262</v>
      </c>
      <c r="D355" s="37"/>
      <c r="E355" s="37"/>
      <c r="F355" s="37"/>
      <c r="G355" s="37"/>
      <c r="H355" s="49"/>
      <c r="I355" s="37"/>
      <c r="J355" s="37"/>
      <c r="K355" s="37">
        <v>1000</v>
      </c>
      <c r="L355" s="37"/>
      <c r="M355" s="37"/>
      <c r="N355" s="37">
        <f t="shared" si="42"/>
        <v>1000</v>
      </c>
      <c r="O355" s="37">
        <v>0</v>
      </c>
      <c r="P355" s="172">
        <f t="shared" si="43"/>
        <v>1000</v>
      </c>
      <c r="Q355" s="172">
        <v>0</v>
      </c>
    </row>
    <row r="356" spans="1:17" s="112" customFormat="1" ht="14.25" customHeight="1">
      <c r="A356" s="171"/>
      <c r="B356" s="184" t="s">
        <v>231</v>
      </c>
      <c r="C356" s="37" t="s">
        <v>370</v>
      </c>
      <c r="D356" s="37"/>
      <c r="E356" s="37">
        <v>5070</v>
      </c>
      <c r="F356" s="37">
        <v>500</v>
      </c>
      <c r="G356" s="37">
        <v>0</v>
      </c>
      <c r="H356" s="49">
        <v>7461</v>
      </c>
      <c r="I356" s="37">
        <v>0</v>
      </c>
      <c r="J356" s="37">
        <v>0</v>
      </c>
      <c r="K356" s="37">
        <v>15210</v>
      </c>
      <c r="L356" s="37"/>
      <c r="M356" s="37"/>
      <c r="N356" s="37">
        <f t="shared" si="42"/>
        <v>15210</v>
      </c>
      <c r="O356" s="37">
        <v>0</v>
      </c>
      <c r="P356" s="172">
        <f t="shared" si="43"/>
        <v>15210</v>
      </c>
      <c r="Q356" s="172">
        <v>0</v>
      </c>
    </row>
    <row r="357" spans="1:17" s="112" customFormat="1" ht="14.25" customHeight="1">
      <c r="A357" s="171"/>
      <c r="B357" s="184" t="s">
        <v>233</v>
      </c>
      <c r="C357" s="37" t="s">
        <v>291</v>
      </c>
      <c r="D357" s="37"/>
      <c r="E357" s="37">
        <v>3015</v>
      </c>
      <c r="F357" s="37">
        <v>500</v>
      </c>
      <c r="G357" s="37">
        <v>0</v>
      </c>
      <c r="H357" s="49">
        <v>6000</v>
      </c>
      <c r="I357" s="37">
        <v>0</v>
      </c>
      <c r="J357" s="37">
        <v>0</v>
      </c>
      <c r="K357" s="37">
        <v>11260</v>
      </c>
      <c r="L357" s="37"/>
      <c r="M357" s="37"/>
      <c r="N357" s="37">
        <f t="shared" si="42"/>
        <v>11260</v>
      </c>
      <c r="O357" s="37">
        <v>0</v>
      </c>
      <c r="P357" s="172">
        <f t="shared" si="43"/>
        <v>11260</v>
      </c>
      <c r="Q357" s="172">
        <v>0</v>
      </c>
    </row>
    <row r="358" spans="1:17" s="112" customFormat="1" ht="13.5" customHeight="1">
      <c r="A358" s="171"/>
      <c r="B358" s="184" t="s">
        <v>237</v>
      </c>
      <c r="C358" s="37" t="s">
        <v>297</v>
      </c>
      <c r="D358" s="37"/>
      <c r="E358" s="37">
        <v>19008</v>
      </c>
      <c r="F358" s="37">
        <v>2043</v>
      </c>
      <c r="G358" s="37">
        <v>0</v>
      </c>
      <c r="H358" s="37">
        <v>19291</v>
      </c>
      <c r="I358" s="37">
        <v>0</v>
      </c>
      <c r="J358" s="37">
        <v>0</v>
      </c>
      <c r="K358" s="37">
        <v>8772</v>
      </c>
      <c r="L358" s="37"/>
      <c r="M358" s="37">
        <v>1340</v>
      </c>
      <c r="N358" s="37">
        <f t="shared" si="42"/>
        <v>7432</v>
      </c>
      <c r="O358" s="37">
        <v>0</v>
      </c>
      <c r="P358" s="172">
        <f t="shared" si="43"/>
        <v>7432</v>
      </c>
      <c r="Q358" s="172">
        <v>0</v>
      </c>
    </row>
    <row r="359" spans="1:17" s="112" customFormat="1" ht="14.25" customHeight="1">
      <c r="A359" s="171"/>
      <c r="B359" s="184" t="s">
        <v>264</v>
      </c>
      <c r="C359" s="37" t="s">
        <v>265</v>
      </c>
      <c r="D359" s="37"/>
      <c r="E359" s="37"/>
      <c r="F359" s="37"/>
      <c r="G359" s="37"/>
      <c r="H359" s="37"/>
      <c r="I359" s="37"/>
      <c r="J359" s="37"/>
      <c r="K359" s="37">
        <v>1449</v>
      </c>
      <c r="L359" s="37"/>
      <c r="M359" s="37"/>
      <c r="N359" s="37">
        <f t="shared" si="42"/>
        <v>1449</v>
      </c>
      <c r="O359" s="37">
        <v>0</v>
      </c>
      <c r="P359" s="172">
        <f t="shared" si="43"/>
        <v>1449</v>
      </c>
      <c r="Q359" s="172">
        <v>0</v>
      </c>
    </row>
    <row r="360" spans="1:17" s="112" customFormat="1" ht="13.5" customHeight="1">
      <c r="A360" s="171"/>
      <c r="B360" s="184" t="s">
        <v>239</v>
      </c>
      <c r="C360" s="37" t="s">
        <v>240</v>
      </c>
      <c r="D360" s="37"/>
      <c r="E360" s="37">
        <v>2618</v>
      </c>
      <c r="F360" s="37">
        <v>0</v>
      </c>
      <c r="G360" s="37">
        <v>0</v>
      </c>
      <c r="H360" s="37">
        <v>1000</v>
      </c>
      <c r="I360" s="37">
        <v>0</v>
      </c>
      <c r="J360" s="37">
        <v>0</v>
      </c>
      <c r="K360" s="37">
        <v>1200</v>
      </c>
      <c r="L360" s="37"/>
      <c r="M360" s="37"/>
      <c r="N360" s="37">
        <f t="shared" si="42"/>
        <v>1200</v>
      </c>
      <c r="O360" s="37">
        <v>0</v>
      </c>
      <c r="P360" s="172">
        <f t="shared" si="43"/>
        <v>1200</v>
      </c>
      <c r="Q360" s="172">
        <v>0</v>
      </c>
    </row>
    <row r="361" spans="1:17" s="112" customFormat="1" ht="15" customHeight="1">
      <c r="A361" s="171"/>
      <c r="B361" s="184" t="s">
        <v>310</v>
      </c>
      <c r="C361" s="37" t="s">
        <v>437</v>
      </c>
      <c r="D361" s="37"/>
      <c r="E361" s="37"/>
      <c r="F361" s="37"/>
      <c r="G361" s="37"/>
      <c r="H361" s="37"/>
      <c r="I361" s="37"/>
      <c r="J361" s="37"/>
      <c r="K361" s="37">
        <v>120</v>
      </c>
      <c r="L361" s="37"/>
      <c r="M361" s="37"/>
      <c r="N361" s="37">
        <f t="shared" si="42"/>
        <v>120</v>
      </c>
      <c r="O361" s="37">
        <v>0</v>
      </c>
      <c r="P361" s="172">
        <f t="shared" si="43"/>
        <v>120</v>
      </c>
      <c r="Q361" s="172">
        <v>0</v>
      </c>
    </row>
    <row r="362" spans="1:17" s="112" customFormat="1" ht="14.25" customHeight="1">
      <c r="A362" s="171"/>
      <c r="B362" s="184" t="s">
        <v>243</v>
      </c>
      <c r="C362" s="37" t="s">
        <v>244</v>
      </c>
      <c r="D362" s="37"/>
      <c r="E362" s="37">
        <v>1673</v>
      </c>
      <c r="F362" s="37">
        <v>2671</v>
      </c>
      <c r="G362" s="37">
        <v>0</v>
      </c>
      <c r="H362" s="37">
        <v>3180</v>
      </c>
      <c r="I362" s="37">
        <v>0</v>
      </c>
      <c r="J362" s="37">
        <v>0</v>
      </c>
      <c r="K362" s="37">
        <v>5080</v>
      </c>
      <c r="L362" s="37">
        <v>1340</v>
      </c>
      <c r="M362" s="37"/>
      <c r="N362" s="37">
        <f t="shared" si="42"/>
        <v>6420</v>
      </c>
      <c r="O362" s="37">
        <v>0</v>
      </c>
      <c r="P362" s="172">
        <f t="shared" si="43"/>
        <v>6420</v>
      </c>
      <c r="Q362" s="172">
        <v>0</v>
      </c>
    </row>
    <row r="363" spans="1:17" s="201" customFormat="1" ht="33" customHeight="1">
      <c r="A363" s="175" t="s">
        <v>438</v>
      </c>
      <c r="B363" s="186"/>
      <c r="C363" s="177" t="s">
        <v>439</v>
      </c>
      <c r="D363" s="178"/>
      <c r="E363" s="178"/>
      <c r="F363" s="178"/>
      <c r="G363" s="178"/>
      <c r="H363" s="178"/>
      <c r="I363" s="178"/>
      <c r="J363" s="178"/>
      <c r="K363" s="178">
        <f>SUM(K364:K374)</f>
        <v>46168</v>
      </c>
      <c r="L363" s="178">
        <f>SUM(L364:L374)</f>
        <v>17</v>
      </c>
      <c r="M363" s="178">
        <f>SUM(M364:M374)</f>
        <v>17</v>
      </c>
      <c r="N363" s="178">
        <f t="shared" si="42"/>
        <v>46168</v>
      </c>
      <c r="O363" s="178">
        <f>SUM(O364:O374)</f>
        <v>0</v>
      </c>
      <c r="P363" s="178">
        <f>SUM(P364:P374)</f>
        <v>46168</v>
      </c>
      <c r="Q363" s="178">
        <f>SUM(Q364:Q374)</f>
        <v>0</v>
      </c>
    </row>
    <row r="364" spans="1:17" s="201" customFormat="1" ht="17.25" customHeight="1">
      <c r="A364" s="174"/>
      <c r="B364" s="116" t="s">
        <v>221</v>
      </c>
      <c r="C364" s="75" t="s">
        <v>258</v>
      </c>
      <c r="D364" s="49"/>
      <c r="E364" s="49"/>
      <c r="F364" s="49"/>
      <c r="G364" s="49"/>
      <c r="H364" s="49"/>
      <c r="I364" s="49"/>
      <c r="J364" s="49"/>
      <c r="K364" s="49">
        <v>24101</v>
      </c>
      <c r="L364" s="49"/>
      <c r="M364" s="49"/>
      <c r="N364" s="37">
        <f t="shared" si="42"/>
        <v>24101</v>
      </c>
      <c r="O364" s="49">
        <v>0</v>
      </c>
      <c r="P364" s="49">
        <f aca="true" t="shared" si="44" ref="P364:P374">N364</f>
        <v>24101</v>
      </c>
      <c r="Q364" s="49">
        <v>0</v>
      </c>
    </row>
    <row r="365" spans="1:17" s="201" customFormat="1" ht="16.5" customHeight="1">
      <c r="A365" s="174"/>
      <c r="B365" s="116" t="s">
        <v>259</v>
      </c>
      <c r="C365" s="75" t="s">
        <v>260</v>
      </c>
      <c r="D365" s="49"/>
      <c r="E365" s="49"/>
      <c r="F365" s="49"/>
      <c r="G365" s="49"/>
      <c r="H365" s="49"/>
      <c r="I365" s="49"/>
      <c r="J365" s="49"/>
      <c r="K365" s="49">
        <v>4384</v>
      </c>
      <c r="L365" s="49"/>
      <c r="M365" s="49"/>
      <c r="N365" s="37">
        <f t="shared" si="42"/>
        <v>4384</v>
      </c>
      <c r="O365" s="49">
        <v>0</v>
      </c>
      <c r="P365" s="49">
        <f t="shared" si="44"/>
        <v>4384</v>
      </c>
      <c r="Q365" s="49">
        <v>0</v>
      </c>
    </row>
    <row r="366" spans="1:17" s="201" customFormat="1" ht="16.5" customHeight="1">
      <c r="A366" s="174"/>
      <c r="B366" s="116" t="s">
        <v>229</v>
      </c>
      <c r="C366" s="75" t="s">
        <v>230</v>
      </c>
      <c r="D366" s="49"/>
      <c r="E366" s="49"/>
      <c r="F366" s="49"/>
      <c r="G366" s="49"/>
      <c r="H366" s="49"/>
      <c r="I366" s="49"/>
      <c r="J366" s="49"/>
      <c r="K366" s="49">
        <v>590</v>
      </c>
      <c r="L366" s="49"/>
      <c r="M366" s="49"/>
      <c r="N366" s="37">
        <f t="shared" si="42"/>
        <v>590</v>
      </c>
      <c r="O366" s="49">
        <v>0</v>
      </c>
      <c r="P366" s="49">
        <f t="shared" si="44"/>
        <v>590</v>
      </c>
      <c r="Q366" s="49">
        <v>0</v>
      </c>
    </row>
    <row r="367" spans="1:17" s="112" customFormat="1" ht="17.25" customHeight="1">
      <c r="A367" s="171"/>
      <c r="B367" s="184" t="s">
        <v>231</v>
      </c>
      <c r="C367" s="37" t="s">
        <v>232</v>
      </c>
      <c r="D367" s="37"/>
      <c r="E367" s="37"/>
      <c r="F367" s="37"/>
      <c r="G367" s="37"/>
      <c r="H367" s="37"/>
      <c r="I367" s="37"/>
      <c r="J367" s="37"/>
      <c r="K367" s="49">
        <v>5500</v>
      </c>
      <c r="L367" s="49"/>
      <c r="M367" s="37">
        <v>17</v>
      </c>
      <c r="N367" s="37">
        <f t="shared" si="42"/>
        <v>5483</v>
      </c>
      <c r="O367" s="49">
        <v>0</v>
      </c>
      <c r="P367" s="49">
        <f t="shared" si="44"/>
        <v>5483</v>
      </c>
      <c r="Q367" s="49">
        <v>0</v>
      </c>
    </row>
    <row r="368" spans="1:17" s="112" customFormat="1" ht="18.75" customHeight="1">
      <c r="A368" s="171"/>
      <c r="B368" s="184" t="s">
        <v>427</v>
      </c>
      <c r="C368" s="37" t="s">
        <v>440</v>
      </c>
      <c r="D368" s="37"/>
      <c r="E368" s="37"/>
      <c r="F368" s="37"/>
      <c r="G368" s="37"/>
      <c r="H368" s="37"/>
      <c r="I368" s="37"/>
      <c r="J368" s="37"/>
      <c r="K368" s="49">
        <v>300</v>
      </c>
      <c r="L368" s="49"/>
      <c r="M368" s="37"/>
      <c r="N368" s="37">
        <f t="shared" si="42"/>
        <v>300</v>
      </c>
      <c r="O368" s="49">
        <v>0</v>
      </c>
      <c r="P368" s="49">
        <f t="shared" si="44"/>
        <v>300</v>
      </c>
      <c r="Q368" s="49">
        <v>0</v>
      </c>
    </row>
    <row r="369" spans="1:17" s="112" customFormat="1" ht="17.25" customHeight="1">
      <c r="A369" s="171"/>
      <c r="B369" s="184" t="s">
        <v>233</v>
      </c>
      <c r="C369" s="37" t="s">
        <v>291</v>
      </c>
      <c r="D369" s="37"/>
      <c r="E369" s="37"/>
      <c r="F369" s="37"/>
      <c r="G369" s="37"/>
      <c r="H369" s="37"/>
      <c r="I369" s="37"/>
      <c r="J369" s="37"/>
      <c r="K369" s="49">
        <v>5820</v>
      </c>
      <c r="L369" s="49"/>
      <c r="M369" s="37"/>
      <c r="N369" s="37">
        <f t="shared" si="42"/>
        <v>5820</v>
      </c>
      <c r="O369" s="49">
        <v>0</v>
      </c>
      <c r="P369" s="49">
        <f t="shared" si="44"/>
        <v>5820</v>
      </c>
      <c r="Q369" s="49">
        <v>0</v>
      </c>
    </row>
    <row r="370" spans="1:17" s="112" customFormat="1" ht="17.25" customHeight="1">
      <c r="A370" s="171"/>
      <c r="B370" s="184" t="s">
        <v>235</v>
      </c>
      <c r="C370" s="37" t="s">
        <v>278</v>
      </c>
      <c r="D370" s="37"/>
      <c r="E370" s="37"/>
      <c r="F370" s="37"/>
      <c r="G370" s="37"/>
      <c r="H370" s="37"/>
      <c r="I370" s="37"/>
      <c r="J370" s="37"/>
      <c r="K370" s="49">
        <v>0</v>
      </c>
      <c r="L370" s="49"/>
      <c r="M370" s="37"/>
      <c r="N370" s="37">
        <f t="shared" si="42"/>
        <v>0</v>
      </c>
      <c r="O370" s="49">
        <v>0</v>
      </c>
      <c r="P370" s="49">
        <f t="shared" si="44"/>
        <v>0</v>
      </c>
      <c r="Q370" s="49">
        <v>0</v>
      </c>
    </row>
    <row r="371" spans="1:17" s="112" customFormat="1" ht="17.25" customHeight="1">
      <c r="A371" s="171"/>
      <c r="B371" s="184" t="s">
        <v>237</v>
      </c>
      <c r="C371" s="37" t="s">
        <v>297</v>
      </c>
      <c r="D371" s="37"/>
      <c r="E371" s="37"/>
      <c r="F371" s="37"/>
      <c r="G371" s="37"/>
      <c r="H371" s="37"/>
      <c r="I371" s="37"/>
      <c r="J371" s="37"/>
      <c r="K371" s="49">
        <v>2280</v>
      </c>
      <c r="L371" s="49"/>
      <c r="M371" s="37"/>
      <c r="N371" s="37">
        <f t="shared" si="42"/>
        <v>2280</v>
      </c>
      <c r="O371" s="49">
        <v>0</v>
      </c>
      <c r="P371" s="49">
        <f t="shared" si="44"/>
        <v>2280</v>
      </c>
      <c r="Q371" s="49">
        <v>0</v>
      </c>
    </row>
    <row r="372" spans="1:17" s="112" customFormat="1" ht="16.5" customHeight="1">
      <c r="A372" s="171"/>
      <c r="B372" s="184" t="s">
        <v>264</v>
      </c>
      <c r="C372" s="37" t="s">
        <v>265</v>
      </c>
      <c r="D372" s="37"/>
      <c r="E372" s="37"/>
      <c r="F372" s="37"/>
      <c r="G372" s="37"/>
      <c r="H372" s="37"/>
      <c r="I372" s="37"/>
      <c r="J372" s="37"/>
      <c r="K372" s="49">
        <v>864</v>
      </c>
      <c r="L372" s="49"/>
      <c r="M372" s="37"/>
      <c r="N372" s="37">
        <f t="shared" si="42"/>
        <v>864</v>
      </c>
      <c r="O372" s="49">
        <v>0</v>
      </c>
      <c r="P372" s="49">
        <f t="shared" si="44"/>
        <v>864</v>
      </c>
      <c r="Q372" s="49">
        <v>0</v>
      </c>
    </row>
    <row r="373" spans="1:17" s="112" customFormat="1" ht="18" customHeight="1">
      <c r="A373" s="171"/>
      <c r="B373" s="184" t="s">
        <v>239</v>
      </c>
      <c r="C373" s="37" t="s">
        <v>240</v>
      </c>
      <c r="D373" s="37"/>
      <c r="E373" s="37"/>
      <c r="F373" s="37"/>
      <c r="G373" s="37"/>
      <c r="H373" s="37"/>
      <c r="I373" s="37"/>
      <c r="J373" s="37"/>
      <c r="K373" s="49">
        <v>1200</v>
      </c>
      <c r="L373" s="49"/>
      <c r="M373" s="37"/>
      <c r="N373" s="37">
        <f t="shared" si="42"/>
        <v>1200</v>
      </c>
      <c r="O373" s="49">
        <v>0</v>
      </c>
      <c r="P373" s="49">
        <f t="shared" si="44"/>
        <v>1200</v>
      </c>
      <c r="Q373" s="49">
        <v>0</v>
      </c>
    </row>
    <row r="374" spans="1:17" s="112" customFormat="1" ht="19.5" customHeight="1">
      <c r="A374" s="171"/>
      <c r="B374" s="184" t="s">
        <v>243</v>
      </c>
      <c r="C374" s="37" t="s">
        <v>244</v>
      </c>
      <c r="D374" s="37"/>
      <c r="E374" s="37"/>
      <c r="F374" s="37"/>
      <c r="G374" s="37"/>
      <c r="H374" s="37"/>
      <c r="I374" s="37"/>
      <c r="J374" s="37"/>
      <c r="K374" s="49">
        <v>1129</v>
      </c>
      <c r="L374" s="49">
        <v>17</v>
      </c>
      <c r="M374" s="37"/>
      <c r="N374" s="37">
        <f t="shared" si="42"/>
        <v>1146</v>
      </c>
      <c r="O374" s="49">
        <v>0</v>
      </c>
      <c r="P374" s="49">
        <f t="shared" si="44"/>
        <v>1146</v>
      </c>
      <c r="Q374" s="49">
        <v>0</v>
      </c>
    </row>
    <row r="375" spans="1:17" s="112" customFormat="1" ht="24" customHeight="1">
      <c r="A375" s="175" t="s">
        <v>441</v>
      </c>
      <c r="B375" s="175"/>
      <c r="C375" s="211" t="s">
        <v>442</v>
      </c>
      <c r="D375" s="188"/>
      <c r="E375" s="188"/>
      <c r="F375" s="188"/>
      <c r="G375" s="188"/>
      <c r="H375" s="188"/>
      <c r="I375" s="188"/>
      <c r="J375" s="188"/>
      <c r="K375" s="178">
        <f>K377</f>
        <v>2200</v>
      </c>
      <c r="L375" s="178">
        <f>L377</f>
        <v>0</v>
      </c>
      <c r="M375" s="178">
        <f>M377</f>
        <v>0</v>
      </c>
      <c r="N375" s="178">
        <f t="shared" si="42"/>
        <v>2200</v>
      </c>
      <c r="O375" s="178">
        <f>O377</f>
        <v>0</v>
      </c>
      <c r="P375" s="179">
        <f>P377</f>
        <v>2200</v>
      </c>
      <c r="Q375" s="212">
        <f>Q377</f>
        <v>0</v>
      </c>
    </row>
    <row r="376" spans="1:17" s="108" customFormat="1" ht="16.5" customHeight="1">
      <c r="A376" s="213"/>
      <c r="B376" s="213" t="s">
        <v>394</v>
      </c>
      <c r="C376" s="42" t="s">
        <v>395</v>
      </c>
      <c r="D376" s="49"/>
      <c r="E376" s="49"/>
      <c r="F376" s="49"/>
      <c r="G376" s="49"/>
      <c r="H376" s="49"/>
      <c r="I376" s="49"/>
      <c r="J376" s="49"/>
      <c r="K376" s="49">
        <v>0</v>
      </c>
      <c r="L376" s="49"/>
      <c r="M376" s="49"/>
      <c r="N376" s="37">
        <f t="shared" si="42"/>
        <v>0</v>
      </c>
      <c r="O376" s="49">
        <v>0</v>
      </c>
      <c r="P376" s="170">
        <f>N376</f>
        <v>0</v>
      </c>
      <c r="Q376" s="170">
        <v>0</v>
      </c>
    </row>
    <row r="377" spans="1:17" s="112" customFormat="1" ht="19.5" customHeight="1">
      <c r="A377" s="171"/>
      <c r="B377" s="171" t="s">
        <v>237</v>
      </c>
      <c r="C377" s="42" t="s">
        <v>297</v>
      </c>
      <c r="D377" s="37"/>
      <c r="E377" s="37"/>
      <c r="F377" s="37"/>
      <c r="G377" s="37"/>
      <c r="H377" s="37"/>
      <c r="I377" s="37"/>
      <c r="J377" s="37"/>
      <c r="K377" s="37">
        <v>2200</v>
      </c>
      <c r="L377" s="37"/>
      <c r="M377" s="37"/>
      <c r="N377" s="37">
        <f t="shared" si="42"/>
        <v>2200</v>
      </c>
      <c r="O377" s="37">
        <v>0</v>
      </c>
      <c r="P377" s="170">
        <f>N377</f>
        <v>2200</v>
      </c>
      <c r="Q377" s="172">
        <v>0</v>
      </c>
    </row>
    <row r="378" spans="1:17" s="112" customFormat="1" ht="17.25" customHeight="1">
      <c r="A378" s="175" t="s">
        <v>443</v>
      </c>
      <c r="B378" s="175"/>
      <c r="C378" s="211" t="s">
        <v>30</v>
      </c>
      <c r="D378" s="178"/>
      <c r="E378" s="178" t="e">
        <f>#REF!+#REF!</f>
        <v>#REF!</v>
      </c>
      <c r="F378" s="178" t="e">
        <f>#REF!+#REF!</f>
        <v>#REF!</v>
      </c>
      <c r="G378" s="178" t="e">
        <f>#REF!+#REF!</f>
        <v>#REF!</v>
      </c>
      <c r="H378" s="178" t="e">
        <f>#REF!+H381</f>
        <v>#REF!</v>
      </c>
      <c r="I378" s="178" t="e">
        <f>#REF!+I381</f>
        <v>#REF!</v>
      </c>
      <c r="J378" s="178" t="e">
        <f>#REF!+J381</f>
        <v>#REF!</v>
      </c>
      <c r="K378" s="178">
        <f>K379+K380+K381</f>
        <v>500</v>
      </c>
      <c r="L378" s="178">
        <f>L379+L380+L381</f>
        <v>0</v>
      </c>
      <c r="M378" s="178">
        <f>M379+M380+M381</f>
        <v>0</v>
      </c>
      <c r="N378" s="188">
        <f t="shared" si="42"/>
        <v>500</v>
      </c>
      <c r="O378" s="178">
        <f>O379+O380+O381</f>
        <v>0</v>
      </c>
      <c r="P378" s="178">
        <f>P379+P380+P381</f>
        <v>500</v>
      </c>
      <c r="Q378" s="178">
        <f>Q379+Q380+Q381</f>
        <v>0</v>
      </c>
    </row>
    <row r="379" spans="1:17" s="112" customFormat="1" ht="18.75" customHeight="1">
      <c r="A379" s="174"/>
      <c r="B379" s="213" t="s">
        <v>231</v>
      </c>
      <c r="C379" s="42" t="s">
        <v>263</v>
      </c>
      <c r="D379" s="49"/>
      <c r="E379" s="49"/>
      <c r="F379" s="49"/>
      <c r="G379" s="49"/>
      <c r="H379" s="49"/>
      <c r="I379" s="49"/>
      <c r="J379" s="49"/>
      <c r="K379" s="49">
        <v>0</v>
      </c>
      <c r="L379" s="49"/>
      <c r="M379" s="49"/>
      <c r="N379" s="37">
        <f t="shared" si="42"/>
        <v>0</v>
      </c>
      <c r="O379" s="49">
        <v>0</v>
      </c>
      <c r="P379" s="49">
        <f>N379</f>
        <v>0</v>
      </c>
      <c r="Q379" s="49">
        <v>0</v>
      </c>
    </row>
    <row r="380" spans="1:17" s="112" customFormat="1" ht="18" customHeight="1">
      <c r="A380" s="174"/>
      <c r="B380" s="213" t="s">
        <v>243</v>
      </c>
      <c r="C380" s="42" t="s">
        <v>444</v>
      </c>
      <c r="D380" s="49"/>
      <c r="E380" s="49"/>
      <c r="F380" s="49"/>
      <c r="G380" s="49"/>
      <c r="H380" s="49"/>
      <c r="I380" s="49"/>
      <c r="J380" s="49"/>
      <c r="K380" s="49">
        <v>0</v>
      </c>
      <c r="L380" s="49"/>
      <c r="M380" s="49"/>
      <c r="N380" s="37">
        <f t="shared" si="42"/>
        <v>0</v>
      </c>
      <c r="O380" s="49">
        <v>0</v>
      </c>
      <c r="P380" s="49">
        <f>N380</f>
        <v>0</v>
      </c>
      <c r="Q380" s="49">
        <v>0</v>
      </c>
    </row>
    <row r="381" spans="1:17" s="112" customFormat="1" ht="18.75" customHeight="1">
      <c r="A381" s="171"/>
      <c r="B381" s="171" t="s">
        <v>237</v>
      </c>
      <c r="C381" s="42" t="s">
        <v>238</v>
      </c>
      <c r="D381" s="37"/>
      <c r="E381" s="37">
        <v>6515</v>
      </c>
      <c r="F381" s="37">
        <v>3292</v>
      </c>
      <c r="G381" s="37">
        <v>0</v>
      </c>
      <c r="H381" s="37">
        <v>2885</v>
      </c>
      <c r="I381" s="37">
        <v>0</v>
      </c>
      <c r="J381" s="37">
        <v>0</v>
      </c>
      <c r="K381" s="37">
        <v>500</v>
      </c>
      <c r="L381" s="37"/>
      <c r="M381" s="37"/>
      <c r="N381" s="37">
        <f t="shared" si="42"/>
        <v>500</v>
      </c>
      <c r="O381" s="37">
        <v>0</v>
      </c>
      <c r="P381" s="49">
        <f>N381</f>
        <v>500</v>
      </c>
      <c r="Q381" s="172">
        <v>0</v>
      </c>
    </row>
    <row r="382" spans="1:17" s="112" customFormat="1" ht="24.75" customHeight="1">
      <c r="A382" s="209" t="s">
        <v>158</v>
      </c>
      <c r="B382" s="209"/>
      <c r="C382" s="214" t="s">
        <v>157</v>
      </c>
      <c r="D382" s="183"/>
      <c r="E382" s="183"/>
      <c r="F382" s="183"/>
      <c r="G382" s="183"/>
      <c r="H382" s="183"/>
      <c r="I382" s="183"/>
      <c r="J382" s="183"/>
      <c r="K382" s="183">
        <f>K383+K390</f>
        <v>890654</v>
      </c>
      <c r="L382" s="183">
        <f>L383+L390</f>
        <v>450</v>
      </c>
      <c r="M382" s="183">
        <f>M383+M390</f>
        <v>0</v>
      </c>
      <c r="N382" s="183">
        <f t="shared" si="42"/>
        <v>891104</v>
      </c>
      <c r="O382" s="183">
        <f>O383+O390</f>
        <v>0</v>
      </c>
      <c r="P382" s="183">
        <f>P383+P390</f>
        <v>891104</v>
      </c>
      <c r="Q382" s="183">
        <f>Q383+Q390</f>
        <v>0</v>
      </c>
    </row>
    <row r="383" spans="1:17" s="112" customFormat="1" ht="19.5" customHeight="1">
      <c r="A383" s="175" t="s">
        <v>160</v>
      </c>
      <c r="B383" s="175"/>
      <c r="C383" s="181" t="s">
        <v>159</v>
      </c>
      <c r="D383" s="178"/>
      <c r="E383" s="178"/>
      <c r="F383" s="178"/>
      <c r="G383" s="178"/>
      <c r="H383" s="178"/>
      <c r="I383" s="178"/>
      <c r="J383" s="178"/>
      <c r="K383" s="178">
        <f>K384+K385+K386+K387+K388+K389</f>
        <v>20491</v>
      </c>
      <c r="L383" s="178">
        <f>L384+L385+L386+L387+L388+L389</f>
        <v>0</v>
      </c>
      <c r="M383" s="178">
        <f>M384+M385+M386+M387+M388+M389</f>
        <v>0</v>
      </c>
      <c r="N383" s="188">
        <f t="shared" si="42"/>
        <v>20491</v>
      </c>
      <c r="O383" s="178">
        <f>O384+O385+O386+O387+O388+O389</f>
        <v>0</v>
      </c>
      <c r="P383" s="178">
        <f>P384+P385+P386+P387+P388+P389</f>
        <v>20491</v>
      </c>
      <c r="Q383" s="178">
        <f>Q384+Q385+Q386+Q387+Q388+Q389</f>
        <v>0</v>
      </c>
    </row>
    <row r="384" spans="1:17" s="112" customFormat="1" ht="14.25" customHeight="1">
      <c r="A384" s="171"/>
      <c r="B384" s="171" t="s">
        <v>221</v>
      </c>
      <c r="C384" s="42" t="s">
        <v>258</v>
      </c>
      <c r="D384" s="37">
        <v>16515</v>
      </c>
      <c r="E384" s="37">
        <v>15028</v>
      </c>
      <c r="F384" s="37">
        <v>0</v>
      </c>
      <c r="G384" s="37">
        <v>0</v>
      </c>
      <c r="H384" s="37">
        <v>9550</v>
      </c>
      <c r="I384" s="37">
        <v>0</v>
      </c>
      <c r="J384" s="37">
        <v>0</v>
      </c>
      <c r="K384" s="37">
        <v>15000</v>
      </c>
      <c r="L384" s="37"/>
      <c r="M384" s="37"/>
      <c r="N384" s="37">
        <f t="shared" si="42"/>
        <v>15000</v>
      </c>
      <c r="O384" s="37">
        <v>0</v>
      </c>
      <c r="P384" s="172">
        <f aca="true" t="shared" si="45" ref="P384:P389">N384</f>
        <v>15000</v>
      </c>
      <c r="Q384" s="172">
        <v>0</v>
      </c>
    </row>
    <row r="385" spans="1:17" s="112" customFormat="1" ht="16.5" customHeight="1">
      <c r="A385" s="171"/>
      <c r="B385" s="171" t="s">
        <v>225</v>
      </c>
      <c r="C385" s="42" t="s">
        <v>226</v>
      </c>
      <c r="D385" s="37"/>
      <c r="E385" s="37"/>
      <c r="F385" s="37"/>
      <c r="G385" s="37"/>
      <c r="H385" s="37">
        <v>765</v>
      </c>
      <c r="I385" s="37">
        <v>0</v>
      </c>
      <c r="J385" s="37">
        <v>0</v>
      </c>
      <c r="K385" s="37">
        <v>1275</v>
      </c>
      <c r="L385" s="37"/>
      <c r="M385" s="37"/>
      <c r="N385" s="37">
        <f t="shared" si="42"/>
        <v>1275</v>
      </c>
      <c r="O385" s="37">
        <v>0</v>
      </c>
      <c r="P385" s="172">
        <f t="shared" si="45"/>
        <v>1275</v>
      </c>
      <c r="Q385" s="172">
        <v>0</v>
      </c>
    </row>
    <row r="386" spans="1:17" s="112" customFormat="1" ht="18.75" customHeight="1">
      <c r="A386" s="171"/>
      <c r="B386" s="215" t="s">
        <v>259</v>
      </c>
      <c r="C386" s="42" t="s">
        <v>445</v>
      </c>
      <c r="D386" s="37">
        <v>3358</v>
      </c>
      <c r="E386" s="37">
        <v>2709</v>
      </c>
      <c r="F386" s="37">
        <v>0</v>
      </c>
      <c r="G386" s="37">
        <v>0</v>
      </c>
      <c r="H386" s="37">
        <v>1844</v>
      </c>
      <c r="I386" s="37">
        <v>0</v>
      </c>
      <c r="J386" s="37">
        <v>0</v>
      </c>
      <c r="K386" s="37">
        <v>2804</v>
      </c>
      <c r="L386" s="37"/>
      <c r="M386" s="37"/>
      <c r="N386" s="37">
        <f t="shared" si="42"/>
        <v>2804</v>
      </c>
      <c r="O386" s="37">
        <v>0</v>
      </c>
      <c r="P386" s="172">
        <f t="shared" si="45"/>
        <v>2804</v>
      </c>
      <c r="Q386" s="172">
        <v>0</v>
      </c>
    </row>
    <row r="387" spans="1:17" s="112" customFormat="1" ht="17.25" customHeight="1">
      <c r="A387" s="171"/>
      <c r="B387" s="215" t="s">
        <v>229</v>
      </c>
      <c r="C387" s="42" t="s">
        <v>230</v>
      </c>
      <c r="D387" s="37"/>
      <c r="E387" s="37">
        <v>371</v>
      </c>
      <c r="F387" s="37">
        <v>0</v>
      </c>
      <c r="G387" s="37">
        <v>0</v>
      </c>
      <c r="H387" s="37">
        <v>253</v>
      </c>
      <c r="I387" s="37">
        <v>0</v>
      </c>
      <c r="J387" s="37">
        <v>0</v>
      </c>
      <c r="K387" s="37">
        <v>399</v>
      </c>
      <c r="L387" s="37"/>
      <c r="M387" s="37"/>
      <c r="N387" s="37">
        <f t="shared" si="42"/>
        <v>399</v>
      </c>
      <c r="O387" s="37">
        <v>0</v>
      </c>
      <c r="P387" s="172">
        <f t="shared" si="45"/>
        <v>399</v>
      </c>
      <c r="Q387" s="172">
        <v>0</v>
      </c>
    </row>
    <row r="388" spans="1:17" s="112" customFormat="1" ht="15.75" customHeight="1">
      <c r="A388" s="171"/>
      <c r="B388" s="171" t="s">
        <v>237</v>
      </c>
      <c r="C388" s="42" t="s">
        <v>297</v>
      </c>
      <c r="D388" s="37"/>
      <c r="E388" s="37"/>
      <c r="F388" s="37"/>
      <c r="G388" s="37"/>
      <c r="H388" s="37">
        <v>29725</v>
      </c>
      <c r="I388" s="37">
        <v>0</v>
      </c>
      <c r="J388" s="37">
        <v>0</v>
      </c>
      <c r="K388" s="37">
        <v>561</v>
      </c>
      <c r="L388" s="37"/>
      <c r="M388" s="37"/>
      <c r="N388" s="37">
        <f t="shared" si="42"/>
        <v>561</v>
      </c>
      <c r="O388" s="37">
        <v>0</v>
      </c>
      <c r="P388" s="172">
        <f t="shared" si="45"/>
        <v>561</v>
      </c>
      <c r="Q388" s="172">
        <v>0</v>
      </c>
    </row>
    <row r="389" spans="1:17" s="112" customFormat="1" ht="16.5" customHeight="1">
      <c r="A389" s="171"/>
      <c r="B389" s="171" t="s">
        <v>243</v>
      </c>
      <c r="C389" s="42" t="s">
        <v>244</v>
      </c>
      <c r="D389" s="37"/>
      <c r="E389" s="37"/>
      <c r="F389" s="37"/>
      <c r="G389" s="37"/>
      <c r="H389" s="37"/>
      <c r="I389" s="37"/>
      <c r="J389" s="37"/>
      <c r="K389" s="37">
        <v>452</v>
      </c>
      <c r="L389" s="37"/>
      <c r="M389" s="37"/>
      <c r="N389" s="37">
        <f t="shared" si="42"/>
        <v>452</v>
      </c>
      <c r="O389" s="37">
        <v>0</v>
      </c>
      <c r="P389" s="172">
        <f t="shared" si="45"/>
        <v>452</v>
      </c>
      <c r="Q389" s="172">
        <v>0</v>
      </c>
    </row>
    <row r="390" spans="1:17" s="112" customFormat="1" ht="15.75" customHeight="1">
      <c r="A390" s="175" t="s">
        <v>166</v>
      </c>
      <c r="B390" s="216"/>
      <c r="C390" s="181" t="s">
        <v>165</v>
      </c>
      <c r="D390" s="178" t="e">
        <f>D392+D393+D394+#REF!</f>
        <v>#REF!</v>
      </c>
      <c r="E390" s="178" t="e">
        <f>E392+E393+E394+E395+#REF!+#REF!+E397+E398+#REF!+E399+E401+#REF!+#REF!</f>
        <v>#REF!</v>
      </c>
      <c r="F390" s="178" t="e">
        <f>F392+F393+F394+F395+#REF!+#REF!+F397+F398+#REF!+F399+F401+#REF!+#REF!</f>
        <v>#REF!</v>
      </c>
      <c r="G390" s="178" t="e">
        <f>G392+G393+G394+G395+#REF!+#REF!+G397+G398+#REF!+G399+G401+#REF!+#REF!</f>
        <v>#REF!</v>
      </c>
      <c r="H390" s="178" t="e">
        <f>H392+H393+H394+H395+H397+H398+H399+H401+#REF!+H402+#REF!</f>
        <v>#REF!</v>
      </c>
      <c r="I390" s="178" t="e">
        <f>I392+I393+I394+I395+I397+I398+I399+I401+#REF!+I402+#REF!</f>
        <v>#REF!</v>
      </c>
      <c r="J390" s="178" t="e">
        <f>J392+J393+J394+J395+J397+J398+J399+J401+#REF!+J402+#REF!</f>
        <v>#REF!</v>
      </c>
      <c r="K390" s="178">
        <f>SUM(K391:K403)</f>
        <v>870163</v>
      </c>
      <c r="L390" s="178">
        <f>SUM(L391:L403)</f>
        <v>450</v>
      </c>
      <c r="M390" s="178">
        <f>SUM(M391:M403)</f>
        <v>0</v>
      </c>
      <c r="N390" s="178">
        <f t="shared" si="42"/>
        <v>870613</v>
      </c>
      <c r="O390" s="178">
        <f>SUM(O391:O403)</f>
        <v>0</v>
      </c>
      <c r="P390" s="178">
        <f>SUM(P391:P403)</f>
        <v>870613</v>
      </c>
      <c r="Q390" s="178">
        <f>SUM(Q391:Q403)</f>
        <v>0</v>
      </c>
    </row>
    <row r="391" spans="1:17" s="112" customFormat="1" ht="15.75" customHeight="1">
      <c r="A391" s="174"/>
      <c r="B391" s="171" t="s">
        <v>217</v>
      </c>
      <c r="C391" s="42" t="s">
        <v>446</v>
      </c>
      <c r="D391" s="81"/>
      <c r="E391" s="81"/>
      <c r="F391" s="81"/>
      <c r="G391" s="81"/>
      <c r="H391" s="81"/>
      <c r="I391" s="81"/>
      <c r="J391" s="81"/>
      <c r="K391" s="49">
        <v>250</v>
      </c>
      <c r="L391" s="49"/>
      <c r="M391" s="81"/>
      <c r="N391" s="37">
        <f t="shared" si="42"/>
        <v>250</v>
      </c>
      <c r="O391" s="81"/>
      <c r="P391" s="49">
        <f aca="true" t="shared" si="46" ref="P391:P403">N391-O391</f>
        <v>250</v>
      </c>
      <c r="Q391" s="81"/>
    </row>
    <row r="392" spans="1:17" s="112" customFormat="1" ht="12.75" customHeight="1">
      <c r="A392" s="171"/>
      <c r="B392" s="171" t="s">
        <v>221</v>
      </c>
      <c r="C392" s="42" t="s">
        <v>258</v>
      </c>
      <c r="D392" s="37">
        <v>606420</v>
      </c>
      <c r="E392" s="37">
        <v>652585</v>
      </c>
      <c r="F392" s="37">
        <v>0</v>
      </c>
      <c r="G392" s="37">
        <v>0</v>
      </c>
      <c r="H392" s="37">
        <v>370235</v>
      </c>
      <c r="I392" s="37">
        <v>0</v>
      </c>
      <c r="J392" s="37">
        <v>0</v>
      </c>
      <c r="K392" s="37">
        <v>567083</v>
      </c>
      <c r="L392" s="37"/>
      <c r="M392" s="37"/>
      <c r="N392" s="37">
        <f t="shared" si="42"/>
        <v>567083</v>
      </c>
      <c r="O392" s="37">
        <v>0</v>
      </c>
      <c r="P392" s="49">
        <f t="shared" si="46"/>
        <v>567083</v>
      </c>
      <c r="Q392" s="172">
        <v>0</v>
      </c>
    </row>
    <row r="393" spans="1:17" s="112" customFormat="1" ht="12.75" customHeight="1">
      <c r="A393" s="171"/>
      <c r="B393" s="171" t="s">
        <v>225</v>
      </c>
      <c r="C393" s="42" t="s">
        <v>226</v>
      </c>
      <c r="D393" s="37">
        <v>48267</v>
      </c>
      <c r="E393" s="37">
        <v>48566</v>
      </c>
      <c r="F393" s="37">
        <v>0</v>
      </c>
      <c r="G393" s="37">
        <v>0</v>
      </c>
      <c r="H393" s="49">
        <v>28767</v>
      </c>
      <c r="I393" s="49">
        <v>0</v>
      </c>
      <c r="J393" s="49">
        <v>0</v>
      </c>
      <c r="K393" s="37">
        <v>42907</v>
      </c>
      <c r="L393" s="37"/>
      <c r="M393" s="49">
        <v>0</v>
      </c>
      <c r="N393" s="37">
        <f t="shared" si="42"/>
        <v>42907</v>
      </c>
      <c r="O393" s="37">
        <v>0</v>
      </c>
      <c r="P393" s="49">
        <f t="shared" si="46"/>
        <v>42907</v>
      </c>
      <c r="Q393" s="172">
        <v>0</v>
      </c>
    </row>
    <row r="394" spans="1:17" s="112" customFormat="1" ht="13.5" customHeight="1">
      <c r="A394" s="171"/>
      <c r="B394" s="215" t="s">
        <v>290</v>
      </c>
      <c r="C394" s="42" t="s">
        <v>316</v>
      </c>
      <c r="D394" s="37">
        <v>131863</v>
      </c>
      <c r="E394" s="37">
        <v>124716</v>
      </c>
      <c r="F394" s="37">
        <v>0</v>
      </c>
      <c r="G394" s="37">
        <v>0</v>
      </c>
      <c r="H394" s="37">
        <v>68092</v>
      </c>
      <c r="I394" s="37">
        <v>0</v>
      </c>
      <c r="J394" s="37">
        <v>0</v>
      </c>
      <c r="K394" s="37">
        <v>105116</v>
      </c>
      <c r="L394" s="37"/>
      <c r="M394" s="37"/>
      <c r="N394" s="37">
        <f t="shared" si="42"/>
        <v>105116</v>
      </c>
      <c r="O394" s="37">
        <v>0</v>
      </c>
      <c r="P394" s="49">
        <f t="shared" si="46"/>
        <v>105116</v>
      </c>
      <c r="Q394" s="172">
        <v>0</v>
      </c>
    </row>
    <row r="395" spans="1:17" s="112" customFormat="1" ht="12" customHeight="1">
      <c r="A395" s="171"/>
      <c r="B395" s="215" t="s">
        <v>229</v>
      </c>
      <c r="C395" s="42" t="s">
        <v>230</v>
      </c>
      <c r="D395" s="37"/>
      <c r="E395" s="37">
        <v>16239</v>
      </c>
      <c r="F395" s="37">
        <v>0</v>
      </c>
      <c r="G395" s="37">
        <v>0</v>
      </c>
      <c r="H395" s="37">
        <v>11100</v>
      </c>
      <c r="I395" s="37">
        <v>0</v>
      </c>
      <c r="J395" s="37">
        <v>0</v>
      </c>
      <c r="K395" s="37">
        <v>12256</v>
      </c>
      <c r="L395" s="37">
        <v>0</v>
      </c>
      <c r="M395" s="37"/>
      <c r="N395" s="37">
        <f t="shared" si="42"/>
        <v>12256</v>
      </c>
      <c r="O395" s="37">
        <v>0</v>
      </c>
      <c r="P395" s="49">
        <f t="shared" si="46"/>
        <v>12256</v>
      </c>
      <c r="Q395" s="172">
        <v>0</v>
      </c>
    </row>
    <row r="396" spans="1:17" s="112" customFormat="1" ht="14.25" customHeight="1">
      <c r="A396" s="171"/>
      <c r="B396" s="171" t="s">
        <v>261</v>
      </c>
      <c r="C396" s="42" t="s">
        <v>262</v>
      </c>
      <c r="D396" s="37"/>
      <c r="E396" s="37"/>
      <c r="F396" s="37"/>
      <c r="G396" s="37"/>
      <c r="H396" s="81"/>
      <c r="I396" s="81"/>
      <c r="J396" s="81"/>
      <c r="K396" s="37">
        <v>6400</v>
      </c>
      <c r="L396" s="37"/>
      <c r="M396" s="81"/>
      <c r="N396" s="37">
        <f t="shared" si="42"/>
        <v>6400</v>
      </c>
      <c r="O396" s="37">
        <v>0</v>
      </c>
      <c r="P396" s="49">
        <f t="shared" si="46"/>
        <v>6400</v>
      </c>
      <c r="Q396" s="172">
        <v>0</v>
      </c>
    </row>
    <row r="397" spans="1:17" s="112" customFormat="1" ht="14.25" customHeight="1">
      <c r="A397" s="171"/>
      <c r="B397" s="171" t="s">
        <v>231</v>
      </c>
      <c r="C397" s="42" t="s">
        <v>370</v>
      </c>
      <c r="D397" s="37"/>
      <c r="E397" s="37">
        <v>20202</v>
      </c>
      <c r="F397" s="37">
        <v>0</v>
      </c>
      <c r="G397" s="37">
        <v>0</v>
      </c>
      <c r="H397" s="37">
        <v>25567</v>
      </c>
      <c r="I397" s="37">
        <v>0</v>
      </c>
      <c r="J397" s="37">
        <v>0</v>
      </c>
      <c r="K397" s="37">
        <v>17000</v>
      </c>
      <c r="L397" s="37"/>
      <c r="M397" s="37"/>
      <c r="N397" s="37">
        <f t="shared" si="42"/>
        <v>17000</v>
      </c>
      <c r="O397" s="37">
        <v>0</v>
      </c>
      <c r="P397" s="49">
        <f t="shared" si="46"/>
        <v>17000</v>
      </c>
      <c r="Q397" s="172">
        <v>0</v>
      </c>
    </row>
    <row r="398" spans="1:17" s="112" customFormat="1" ht="13.5" customHeight="1">
      <c r="A398" s="171"/>
      <c r="B398" s="171" t="s">
        <v>233</v>
      </c>
      <c r="C398" s="42" t="s">
        <v>291</v>
      </c>
      <c r="D398" s="37"/>
      <c r="E398" s="37">
        <v>31800</v>
      </c>
      <c r="F398" s="37">
        <v>0</v>
      </c>
      <c r="G398" s="37">
        <v>0</v>
      </c>
      <c r="H398" s="37">
        <v>34876</v>
      </c>
      <c r="I398" s="37">
        <v>0</v>
      </c>
      <c r="J398" s="37">
        <v>0</v>
      </c>
      <c r="K398" s="37">
        <v>29516</v>
      </c>
      <c r="L398" s="37"/>
      <c r="M398" s="37"/>
      <c r="N398" s="37">
        <f t="shared" si="42"/>
        <v>29516</v>
      </c>
      <c r="O398" s="37">
        <v>0</v>
      </c>
      <c r="P398" s="49">
        <f t="shared" si="46"/>
        <v>29516</v>
      </c>
      <c r="Q398" s="172">
        <v>0</v>
      </c>
    </row>
    <row r="399" spans="1:17" s="112" customFormat="1" ht="15" customHeight="1">
      <c r="A399" s="171"/>
      <c r="B399" s="171" t="s">
        <v>237</v>
      </c>
      <c r="C399" s="42" t="s">
        <v>297</v>
      </c>
      <c r="D399" s="37"/>
      <c r="E399" s="37">
        <v>17850</v>
      </c>
      <c r="F399" s="37">
        <v>0</v>
      </c>
      <c r="G399" s="37">
        <v>0</v>
      </c>
      <c r="H399" s="37">
        <v>33475</v>
      </c>
      <c r="I399" s="37">
        <v>0</v>
      </c>
      <c r="J399" s="37">
        <v>0</v>
      </c>
      <c r="K399" s="37">
        <v>26830</v>
      </c>
      <c r="L399" s="37">
        <v>450</v>
      </c>
      <c r="M399" s="37"/>
      <c r="N399" s="37">
        <f t="shared" si="42"/>
        <v>27280</v>
      </c>
      <c r="O399" s="37">
        <v>0</v>
      </c>
      <c r="P399" s="49">
        <f t="shared" si="46"/>
        <v>27280</v>
      </c>
      <c r="Q399" s="172">
        <v>0</v>
      </c>
    </row>
    <row r="400" spans="1:17" s="112" customFormat="1" ht="15" customHeight="1">
      <c r="A400" s="171"/>
      <c r="B400" s="171" t="s">
        <v>407</v>
      </c>
      <c r="C400" s="42" t="s">
        <v>297</v>
      </c>
      <c r="D400" s="37"/>
      <c r="E400" s="37"/>
      <c r="F400" s="37"/>
      <c r="G400" s="37"/>
      <c r="H400" s="37"/>
      <c r="I400" s="37"/>
      <c r="J400" s="37"/>
      <c r="K400" s="37">
        <v>20000</v>
      </c>
      <c r="L400" s="37"/>
      <c r="M400" s="37"/>
      <c r="N400" s="37">
        <f t="shared" si="42"/>
        <v>20000</v>
      </c>
      <c r="O400" s="37">
        <v>0</v>
      </c>
      <c r="P400" s="49">
        <f t="shared" si="46"/>
        <v>20000</v>
      </c>
      <c r="Q400" s="172">
        <v>0</v>
      </c>
    </row>
    <row r="401" spans="1:17" s="112" customFormat="1" ht="14.25" customHeight="1">
      <c r="A401" s="171"/>
      <c r="B401" s="171" t="s">
        <v>239</v>
      </c>
      <c r="C401" s="42" t="s">
        <v>240</v>
      </c>
      <c r="D401" s="37"/>
      <c r="E401" s="37">
        <v>1400</v>
      </c>
      <c r="F401" s="37">
        <v>0</v>
      </c>
      <c r="G401" s="37">
        <v>0</v>
      </c>
      <c r="H401" s="37">
        <v>2000</v>
      </c>
      <c r="I401" s="37">
        <v>0</v>
      </c>
      <c r="J401" s="37">
        <v>0</v>
      </c>
      <c r="K401" s="37">
        <v>2000</v>
      </c>
      <c r="L401" s="37"/>
      <c r="M401" s="37"/>
      <c r="N401" s="37">
        <f t="shared" si="42"/>
        <v>2000</v>
      </c>
      <c r="O401" s="37">
        <v>0</v>
      </c>
      <c r="P401" s="49">
        <f t="shared" si="46"/>
        <v>2000</v>
      </c>
      <c r="Q401" s="172">
        <v>0</v>
      </c>
    </row>
    <row r="402" spans="1:17" s="112" customFormat="1" ht="14.25" customHeight="1">
      <c r="A402" s="171"/>
      <c r="B402" s="171" t="s">
        <v>243</v>
      </c>
      <c r="C402" s="42" t="s">
        <v>244</v>
      </c>
      <c r="D402" s="37"/>
      <c r="E402" s="37"/>
      <c r="F402" s="37"/>
      <c r="G402" s="37"/>
      <c r="H402" s="37">
        <v>12853</v>
      </c>
      <c r="I402" s="37">
        <v>0</v>
      </c>
      <c r="J402" s="37">
        <v>0</v>
      </c>
      <c r="K402" s="37">
        <v>15805</v>
      </c>
      <c r="L402" s="37"/>
      <c r="M402" s="37"/>
      <c r="N402" s="37">
        <f t="shared" si="42"/>
        <v>15805</v>
      </c>
      <c r="O402" s="37">
        <v>0</v>
      </c>
      <c r="P402" s="49">
        <f t="shared" si="46"/>
        <v>15805</v>
      </c>
      <c r="Q402" s="172">
        <v>0</v>
      </c>
    </row>
    <row r="403" spans="1:17" s="112" customFormat="1" ht="13.5" customHeight="1">
      <c r="A403" s="171"/>
      <c r="B403" s="171" t="s">
        <v>270</v>
      </c>
      <c r="C403" s="42" t="s">
        <v>271</v>
      </c>
      <c r="D403" s="37"/>
      <c r="E403" s="37"/>
      <c r="F403" s="37"/>
      <c r="G403" s="37"/>
      <c r="H403" s="37"/>
      <c r="I403" s="37"/>
      <c r="J403" s="37"/>
      <c r="K403" s="37">
        <v>25000</v>
      </c>
      <c r="L403" s="37"/>
      <c r="M403" s="37"/>
      <c r="N403" s="37">
        <f t="shared" si="42"/>
        <v>25000</v>
      </c>
      <c r="O403" s="37">
        <v>0</v>
      </c>
      <c r="P403" s="49">
        <f t="shared" si="46"/>
        <v>25000</v>
      </c>
      <c r="Q403" s="172">
        <v>0</v>
      </c>
    </row>
    <row r="404" spans="1:17" s="201" customFormat="1" ht="18" customHeight="1">
      <c r="A404" s="209" t="s">
        <v>169</v>
      </c>
      <c r="B404" s="209"/>
      <c r="C404" s="214" t="s">
        <v>447</v>
      </c>
      <c r="D404" s="183" t="e">
        <f>D405+D420+D435+#REF!+D460</f>
        <v>#REF!</v>
      </c>
      <c r="E404" s="183" t="e">
        <f>E405+E420+E435+#REF!+E460+#REF!+E465</f>
        <v>#REF!</v>
      </c>
      <c r="F404" s="183" t="e">
        <f>F405+F420+F435+F460+#REF!+F465</f>
        <v>#REF!</v>
      </c>
      <c r="G404" s="183" t="e">
        <f>G405+G420+G435+G460+#REF!+G465</f>
        <v>#REF!</v>
      </c>
      <c r="H404" s="183" t="e">
        <f>H405+#REF!+H420+H435+H460+H465+H450</f>
        <v>#REF!</v>
      </c>
      <c r="I404" s="183" t="e">
        <f>I405+#REF!+I420+I435+I460+I465+I450</f>
        <v>#REF!</v>
      </c>
      <c r="J404" s="183" t="e">
        <f>J405+#REF!+J420+J435+J460+J465+J450</f>
        <v>#REF!</v>
      </c>
      <c r="K404" s="183">
        <f>K405+K420+K435+K460+K465+K450</f>
        <v>3653712</v>
      </c>
      <c r="L404" s="183">
        <f>L405+L420+L435+L460+L465+L450</f>
        <v>92298</v>
      </c>
      <c r="M404" s="183">
        <f>M405+M420+M435+M460+M465+M450</f>
        <v>27026</v>
      </c>
      <c r="N404" s="183">
        <f t="shared" si="42"/>
        <v>3718984</v>
      </c>
      <c r="O404" s="183">
        <f>O405+O420+O435+O460+O465+O450</f>
        <v>0</v>
      </c>
      <c r="P404" s="183">
        <f>P405+P420+P435+P460+P465+P450</f>
        <v>3717484</v>
      </c>
      <c r="Q404" s="183">
        <f>Q405+Q420+Q435+Q460+Q465+Q450</f>
        <v>1500</v>
      </c>
    </row>
    <row r="405" spans="1:17" s="112" customFormat="1" ht="24" customHeight="1">
      <c r="A405" s="175" t="s">
        <v>171</v>
      </c>
      <c r="B405" s="216"/>
      <c r="C405" s="211" t="s">
        <v>170</v>
      </c>
      <c r="D405" s="178" t="e">
        <f>D407+D408+D409+#REF!</f>
        <v>#REF!</v>
      </c>
      <c r="E405" s="178" t="e">
        <f>E407+E408+E409+E410+E406+E411+E412+E413+#REF!+E415+E416+#REF!+E418+#REF!</f>
        <v>#REF!</v>
      </c>
      <c r="F405" s="178" t="e">
        <f>F407+F408+F409+F410+F406+F411+F412+F413+#REF!+F415+F416+#REF!+F418+#REF!</f>
        <v>#REF!</v>
      </c>
      <c r="G405" s="178" t="e">
        <f>G407+G408+G409+G410+G406+G411+G412+G413+#REF!+G415+G416+#REF!+G418+#REF!</f>
        <v>#REF!</v>
      </c>
      <c r="H405" s="178" t="e">
        <f>H407+H408+H409+H410+H411+H412+H413+#REF!+H415+H416+#REF!+H418+#REF!+#REF!</f>
        <v>#REF!</v>
      </c>
      <c r="I405" s="178" t="e">
        <f>I407+I408+I409+I410+I411+I412+I413+#REF!+I415+I416+#REF!+I418+#REF!+#REF!</f>
        <v>#REF!</v>
      </c>
      <c r="J405" s="178" t="e">
        <f>J407+J408+J409+J410+J411+J412+J413+#REF!+J415+J416+#REF!+J418+#REF!+#REF!</f>
        <v>#REF!</v>
      </c>
      <c r="K405" s="178">
        <f>SUM(K406:K419)</f>
        <v>1289372</v>
      </c>
      <c r="L405" s="178">
        <f>SUM(L406:L419)</f>
        <v>21660</v>
      </c>
      <c r="M405" s="178">
        <f>SUM(M406:M419)</f>
        <v>21660</v>
      </c>
      <c r="N405" s="178">
        <f t="shared" si="42"/>
        <v>1289372</v>
      </c>
      <c r="O405" s="178">
        <f>SUM(O406:O418)</f>
        <v>0</v>
      </c>
      <c r="P405" s="178">
        <f>SUM(P406:P419)</f>
        <v>1289372</v>
      </c>
      <c r="Q405" s="178">
        <f>SUM(Q406:Q418)</f>
        <v>0</v>
      </c>
    </row>
    <row r="406" spans="1:17" s="112" customFormat="1" ht="16.5" customHeight="1">
      <c r="A406" s="171"/>
      <c r="B406" s="215" t="s">
        <v>217</v>
      </c>
      <c r="C406" s="42" t="s">
        <v>372</v>
      </c>
      <c r="D406" s="37"/>
      <c r="E406" s="37">
        <v>32821</v>
      </c>
      <c r="F406" s="37">
        <v>0</v>
      </c>
      <c r="G406" s="37">
        <v>0</v>
      </c>
      <c r="H406" s="81"/>
      <c r="I406" s="81"/>
      <c r="J406" s="81"/>
      <c r="K406" s="37">
        <v>0</v>
      </c>
      <c r="L406" s="37"/>
      <c r="M406" s="81"/>
      <c r="N406" s="37">
        <f t="shared" si="42"/>
        <v>0</v>
      </c>
      <c r="O406" s="37">
        <v>0</v>
      </c>
      <c r="P406" s="172">
        <f aca="true" t="shared" si="47" ref="P406:P419">N406</f>
        <v>0</v>
      </c>
      <c r="Q406" s="172">
        <v>0</v>
      </c>
    </row>
    <row r="407" spans="1:17" s="112" customFormat="1" ht="15.75" customHeight="1">
      <c r="A407" s="171"/>
      <c r="B407" s="171" t="s">
        <v>221</v>
      </c>
      <c r="C407" s="42" t="s">
        <v>258</v>
      </c>
      <c r="D407" s="37">
        <v>1270889</v>
      </c>
      <c r="E407" s="37">
        <v>1044649</v>
      </c>
      <c r="F407" s="37">
        <v>19143</v>
      </c>
      <c r="G407" s="37">
        <v>45000</v>
      </c>
      <c r="H407" s="37">
        <v>562350</v>
      </c>
      <c r="I407" s="37">
        <v>0</v>
      </c>
      <c r="J407" s="37">
        <v>0</v>
      </c>
      <c r="K407" s="37">
        <v>658167</v>
      </c>
      <c r="L407" s="37">
        <v>8850</v>
      </c>
      <c r="M407" s="37"/>
      <c r="N407" s="37">
        <f t="shared" si="42"/>
        <v>667017</v>
      </c>
      <c r="O407" s="37">
        <v>0</v>
      </c>
      <c r="P407" s="172">
        <f t="shared" si="47"/>
        <v>667017</v>
      </c>
      <c r="Q407" s="172">
        <v>0</v>
      </c>
    </row>
    <row r="408" spans="1:17" s="112" customFormat="1" ht="14.25" customHeight="1">
      <c r="A408" s="171"/>
      <c r="B408" s="171" t="s">
        <v>225</v>
      </c>
      <c r="C408" s="42" t="s">
        <v>226</v>
      </c>
      <c r="D408" s="37">
        <v>95035</v>
      </c>
      <c r="E408" s="37">
        <v>92025</v>
      </c>
      <c r="F408" s="37">
        <v>0</v>
      </c>
      <c r="G408" s="37">
        <v>0</v>
      </c>
      <c r="H408" s="37">
        <v>46308</v>
      </c>
      <c r="I408" s="37">
        <v>0</v>
      </c>
      <c r="J408" s="37">
        <v>0</v>
      </c>
      <c r="K408" s="37">
        <v>51540</v>
      </c>
      <c r="L408" s="37"/>
      <c r="M408" s="37">
        <v>8850</v>
      </c>
      <c r="N408" s="37">
        <f t="shared" si="42"/>
        <v>42690</v>
      </c>
      <c r="O408" s="37">
        <v>0</v>
      </c>
      <c r="P408" s="172">
        <f t="shared" si="47"/>
        <v>42690</v>
      </c>
      <c r="Q408" s="172">
        <v>0</v>
      </c>
    </row>
    <row r="409" spans="1:17" s="112" customFormat="1" ht="13.5" customHeight="1">
      <c r="A409" s="171"/>
      <c r="B409" s="215" t="s">
        <v>259</v>
      </c>
      <c r="C409" s="42" t="s">
        <v>316</v>
      </c>
      <c r="D409" s="37">
        <v>274033</v>
      </c>
      <c r="E409" s="37">
        <v>199495</v>
      </c>
      <c r="F409" s="37">
        <v>2349</v>
      </c>
      <c r="G409" s="37">
        <v>8046</v>
      </c>
      <c r="H409" s="37">
        <v>107000</v>
      </c>
      <c r="I409" s="37">
        <v>0</v>
      </c>
      <c r="J409" s="37">
        <v>0</v>
      </c>
      <c r="K409" s="37">
        <v>127600</v>
      </c>
      <c r="L409" s="37"/>
      <c r="M409" s="37"/>
      <c r="N409" s="37">
        <f t="shared" si="42"/>
        <v>127600</v>
      </c>
      <c r="O409" s="37">
        <v>0</v>
      </c>
      <c r="P409" s="172">
        <f t="shared" si="47"/>
        <v>127600</v>
      </c>
      <c r="Q409" s="172">
        <v>0</v>
      </c>
    </row>
    <row r="410" spans="1:17" s="112" customFormat="1" ht="14.25" customHeight="1">
      <c r="A410" s="171"/>
      <c r="B410" s="215" t="s">
        <v>229</v>
      </c>
      <c r="C410" s="42" t="s">
        <v>230</v>
      </c>
      <c r="D410" s="37"/>
      <c r="E410" s="37">
        <v>27615</v>
      </c>
      <c r="F410" s="37">
        <v>321</v>
      </c>
      <c r="G410" s="37">
        <v>1102</v>
      </c>
      <c r="H410" s="37">
        <v>14660</v>
      </c>
      <c r="I410" s="37">
        <v>0</v>
      </c>
      <c r="J410" s="37">
        <v>0</v>
      </c>
      <c r="K410" s="37">
        <v>17000</v>
      </c>
      <c r="L410" s="37"/>
      <c r="M410" s="37"/>
      <c r="N410" s="37">
        <f t="shared" si="42"/>
        <v>17000</v>
      </c>
      <c r="O410" s="37">
        <v>0</v>
      </c>
      <c r="P410" s="172">
        <f t="shared" si="47"/>
        <v>17000</v>
      </c>
      <c r="Q410" s="172">
        <v>0</v>
      </c>
    </row>
    <row r="411" spans="1:17" s="112" customFormat="1" ht="14.25" customHeight="1">
      <c r="A411" s="171"/>
      <c r="B411" s="215" t="s">
        <v>231</v>
      </c>
      <c r="C411" s="42" t="s">
        <v>370</v>
      </c>
      <c r="D411" s="37"/>
      <c r="E411" s="37">
        <v>123652</v>
      </c>
      <c r="F411" s="37">
        <v>12612</v>
      </c>
      <c r="G411" s="37">
        <v>0</v>
      </c>
      <c r="H411" s="37">
        <v>114868</v>
      </c>
      <c r="I411" s="37">
        <v>0</v>
      </c>
      <c r="J411" s="37">
        <v>0</v>
      </c>
      <c r="K411" s="37">
        <v>94900</v>
      </c>
      <c r="L411" s="37"/>
      <c r="M411" s="37"/>
      <c r="N411" s="37">
        <f t="shared" si="42"/>
        <v>94900</v>
      </c>
      <c r="O411" s="37">
        <v>0</v>
      </c>
      <c r="P411" s="172">
        <f t="shared" si="47"/>
        <v>94900</v>
      </c>
      <c r="Q411" s="172">
        <v>0</v>
      </c>
    </row>
    <row r="412" spans="1:17" s="112" customFormat="1" ht="15" customHeight="1">
      <c r="A412" s="171"/>
      <c r="B412" s="215" t="s">
        <v>425</v>
      </c>
      <c r="C412" s="42" t="s">
        <v>426</v>
      </c>
      <c r="D412" s="37"/>
      <c r="E412" s="37">
        <v>145078</v>
      </c>
      <c r="F412" s="37">
        <v>0</v>
      </c>
      <c r="G412" s="37">
        <v>20000</v>
      </c>
      <c r="H412" s="37">
        <v>57000</v>
      </c>
      <c r="I412" s="37">
        <v>0</v>
      </c>
      <c r="J412" s="37">
        <v>0</v>
      </c>
      <c r="K412" s="37">
        <v>65000</v>
      </c>
      <c r="L412" s="37"/>
      <c r="M412" s="37"/>
      <c r="N412" s="37">
        <f aca="true" t="shared" si="48" ref="N412:N475">K412+L412-M412</f>
        <v>65000</v>
      </c>
      <c r="O412" s="37">
        <v>0</v>
      </c>
      <c r="P412" s="172">
        <f t="shared" si="47"/>
        <v>65000</v>
      </c>
      <c r="Q412" s="172">
        <v>0</v>
      </c>
    </row>
    <row r="413" spans="1:17" s="112" customFormat="1" ht="14.25" customHeight="1">
      <c r="A413" s="171"/>
      <c r="B413" s="215" t="s">
        <v>233</v>
      </c>
      <c r="C413" s="42" t="s">
        <v>291</v>
      </c>
      <c r="D413" s="37"/>
      <c r="E413" s="37">
        <v>21328</v>
      </c>
      <c r="F413" s="37">
        <v>3000</v>
      </c>
      <c r="G413" s="37">
        <v>0</v>
      </c>
      <c r="H413" s="37">
        <v>17200</v>
      </c>
      <c r="I413" s="37">
        <v>0</v>
      </c>
      <c r="J413" s="37">
        <v>0</v>
      </c>
      <c r="K413" s="37">
        <v>17500</v>
      </c>
      <c r="L413" s="37"/>
      <c r="M413" s="37"/>
      <c r="N413" s="37">
        <f t="shared" si="48"/>
        <v>17500</v>
      </c>
      <c r="O413" s="37">
        <v>0</v>
      </c>
      <c r="P413" s="172">
        <f t="shared" si="47"/>
        <v>17500</v>
      </c>
      <c r="Q413" s="172">
        <v>0</v>
      </c>
    </row>
    <row r="414" spans="1:17" s="112" customFormat="1" ht="14.25" customHeight="1">
      <c r="A414" s="171"/>
      <c r="B414" s="215" t="s">
        <v>235</v>
      </c>
      <c r="C414" s="42" t="s">
        <v>278</v>
      </c>
      <c r="D414" s="37"/>
      <c r="E414" s="37"/>
      <c r="F414" s="37"/>
      <c r="G414" s="37"/>
      <c r="H414" s="37"/>
      <c r="I414" s="37"/>
      <c r="J414" s="37"/>
      <c r="K414" s="37">
        <v>0</v>
      </c>
      <c r="L414" s="37">
        <v>12810</v>
      </c>
      <c r="M414" s="37"/>
      <c r="N414" s="37">
        <f t="shared" si="48"/>
        <v>12810</v>
      </c>
      <c r="O414" s="37"/>
      <c r="P414" s="172">
        <f t="shared" si="47"/>
        <v>12810</v>
      </c>
      <c r="Q414" s="172"/>
    </row>
    <row r="415" spans="1:17" s="112" customFormat="1" ht="15" customHeight="1">
      <c r="A415" s="171"/>
      <c r="B415" s="215" t="s">
        <v>237</v>
      </c>
      <c r="C415" s="42" t="s">
        <v>297</v>
      </c>
      <c r="D415" s="37"/>
      <c r="E415" s="37">
        <v>22737</v>
      </c>
      <c r="F415" s="37">
        <v>4000</v>
      </c>
      <c r="G415" s="37">
        <v>0</v>
      </c>
      <c r="H415" s="37">
        <v>27250</v>
      </c>
      <c r="I415" s="37">
        <v>0</v>
      </c>
      <c r="J415" s="37">
        <v>0</v>
      </c>
      <c r="K415" s="37">
        <v>39200</v>
      </c>
      <c r="L415" s="37"/>
      <c r="M415" s="37">
        <v>12810</v>
      </c>
      <c r="N415" s="37">
        <f t="shared" si="48"/>
        <v>26390</v>
      </c>
      <c r="O415" s="37">
        <v>0</v>
      </c>
      <c r="P415" s="172">
        <f t="shared" si="47"/>
        <v>26390</v>
      </c>
      <c r="Q415" s="172">
        <v>0</v>
      </c>
    </row>
    <row r="416" spans="1:17" s="112" customFormat="1" ht="14.25" customHeight="1">
      <c r="A416" s="171"/>
      <c r="B416" s="215" t="s">
        <v>239</v>
      </c>
      <c r="C416" s="42" t="s">
        <v>240</v>
      </c>
      <c r="D416" s="37"/>
      <c r="E416" s="37">
        <v>2384</v>
      </c>
      <c r="F416" s="37">
        <v>0</v>
      </c>
      <c r="G416" s="37">
        <v>800</v>
      </c>
      <c r="H416" s="37">
        <v>300</v>
      </c>
      <c r="I416" s="37">
        <v>0</v>
      </c>
      <c r="J416" s="37">
        <v>0</v>
      </c>
      <c r="K416" s="37">
        <v>3000</v>
      </c>
      <c r="L416" s="37"/>
      <c r="M416" s="37"/>
      <c r="N416" s="37">
        <f t="shared" si="48"/>
        <v>3000</v>
      </c>
      <c r="O416" s="37">
        <v>0</v>
      </c>
      <c r="P416" s="172">
        <f t="shared" si="47"/>
        <v>3000</v>
      </c>
      <c r="Q416" s="172">
        <v>0</v>
      </c>
    </row>
    <row r="417" spans="1:17" s="112" customFormat="1" ht="14.25" customHeight="1">
      <c r="A417" s="171"/>
      <c r="B417" s="215" t="s">
        <v>241</v>
      </c>
      <c r="C417" s="42" t="s">
        <v>242</v>
      </c>
      <c r="D417" s="37"/>
      <c r="E417" s="37"/>
      <c r="F417" s="37"/>
      <c r="G417" s="37"/>
      <c r="H417" s="37"/>
      <c r="I417" s="37"/>
      <c r="J417" s="37"/>
      <c r="K417" s="37">
        <v>1200</v>
      </c>
      <c r="L417" s="37"/>
      <c r="M417" s="37"/>
      <c r="N417" s="37">
        <f t="shared" si="48"/>
        <v>1200</v>
      </c>
      <c r="O417" s="37">
        <v>0</v>
      </c>
      <c r="P417" s="172">
        <f t="shared" si="47"/>
        <v>1200</v>
      </c>
      <c r="Q417" s="172">
        <v>0</v>
      </c>
    </row>
    <row r="418" spans="1:17" s="112" customFormat="1" ht="14.25" customHeight="1">
      <c r="A418" s="171"/>
      <c r="B418" s="215" t="s">
        <v>243</v>
      </c>
      <c r="C418" s="42" t="s">
        <v>244</v>
      </c>
      <c r="D418" s="37"/>
      <c r="E418" s="37">
        <v>79227</v>
      </c>
      <c r="F418" s="37">
        <v>0</v>
      </c>
      <c r="G418" s="37">
        <v>0</v>
      </c>
      <c r="H418" s="37">
        <v>31503</v>
      </c>
      <c r="I418" s="37">
        <v>0</v>
      </c>
      <c r="J418" s="37">
        <v>0</v>
      </c>
      <c r="K418" s="37">
        <v>35318</v>
      </c>
      <c r="L418" s="37"/>
      <c r="M418" s="37"/>
      <c r="N418" s="37">
        <f t="shared" si="48"/>
        <v>35318</v>
      </c>
      <c r="O418" s="37">
        <v>0</v>
      </c>
      <c r="P418" s="172">
        <f t="shared" si="47"/>
        <v>35318</v>
      </c>
      <c r="Q418" s="172">
        <v>0</v>
      </c>
    </row>
    <row r="419" spans="1:17" s="112" customFormat="1" ht="14.25" customHeight="1">
      <c r="A419" s="171"/>
      <c r="B419" s="215" t="s">
        <v>268</v>
      </c>
      <c r="C419" s="42" t="s">
        <v>448</v>
      </c>
      <c r="D419" s="37"/>
      <c r="E419" s="37"/>
      <c r="F419" s="37"/>
      <c r="G419" s="37"/>
      <c r="H419" s="37"/>
      <c r="I419" s="37"/>
      <c r="J419" s="37"/>
      <c r="K419" s="37">
        <v>178947</v>
      </c>
      <c r="L419" s="37">
        <v>0</v>
      </c>
      <c r="M419" s="37"/>
      <c r="N419" s="37">
        <f t="shared" si="48"/>
        <v>178947</v>
      </c>
      <c r="O419" s="37">
        <v>0</v>
      </c>
      <c r="P419" s="172">
        <f t="shared" si="47"/>
        <v>178947</v>
      </c>
      <c r="Q419" s="172">
        <v>0</v>
      </c>
    </row>
    <row r="420" spans="1:17" s="112" customFormat="1" ht="15.75" customHeight="1">
      <c r="A420" s="175" t="s">
        <v>174</v>
      </c>
      <c r="B420" s="216"/>
      <c r="C420" s="181" t="s">
        <v>449</v>
      </c>
      <c r="D420" s="178" t="e">
        <f>D422+D423+D424+#REF!</f>
        <v>#REF!</v>
      </c>
      <c r="E420" s="178" t="e">
        <f>E422+E423+E424+E425+E421+E427+E428+E429+#REF!+E430+E432+#REF!+E433</f>
        <v>#REF!</v>
      </c>
      <c r="F420" s="178" t="e">
        <f>F422+F423+F424+F425+F421+F427+F428+F429+#REF!+F430+F432+#REF!+F433</f>
        <v>#REF!</v>
      </c>
      <c r="G420" s="178" t="e">
        <f>G422+G423+G424+G425+G421+G427+G428+G429+#REF!+G430+G432+#REF!+G433</f>
        <v>#REF!</v>
      </c>
      <c r="H420" s="178" t="e">
        <f>H422+H423+H424+H425+H421+H427+H428+H429+H430+H432+#REF!+H433+H434</f>
        <v>#REF!</v>
      </c>
      <c r="I420" s="178" t="e">
        <f>I422+I423+I424+I425+I421+I427+I428+I429+I430+I432+#REF!+I433+I434</f>
        <v>#REF!</v>
      </c>
      <c r="J420" s="178" t="e">
        <f>J422+J423+J424+J425+J421+J427+J428+J429+J430+J432+#REF!+J433+J434</f>
        <v>#REF!</v>
      </c>
      <c r="K420" s="178">
        <f>SUM(K421:K434)</f>
        <v>416000</v>
      </c>
      <c r="L420" s="178">
        <f>SUM(L421:L434)</f>
        <v>482</v>
      </c>
      <c r="M420" s="178">
        <f>SUM(M421:M434)</f>
        <v>482</v>
      </c>
      <c r="N420" s="178">
        <f t="shared" si="48"/>
        <v>416000</v>
      </c>
      <c r="O420" s="178">
        <f>SUM(O421:O434)</f>
        <v>0</v>
      </c>
      <c r="P420" s="178">
        <f>SUM(P421:P434)</f>
        <v>416000</v>
      </c>
      <c r="Q420" s="178">
        <f>SUM(Q421:Q434)</f>
        <v>0</v>
      </c>
    </row>
    <row r="421" spans="1:17" s="112" customFormat="1" ht="14.25" customHeight="1">
      <c r="A421" s="171"/>
      <c r="B421" s="215" t="s">
        <v>217</v>
      </c>
      <c r="C421" s="42" t="s">
        <v>372</v>
      </c>
      <c r="D421" s="37"/>
      <c r="E421" s="37">
        <v>4293</v>
      </c>
      <c r="F421" s="37">
        <v>0</v>
      </c>
      <c r="G421" s="37">
        <v>0</v>
      </c>
      <c r="H421" s="37">
        <v>3580</v>
      </c>
      <c r="I421" s="37">
        <v>0</v>
      </c>
      <c r="J421" s="37">
        <v>0</v>
      </c>
      <c r="K421" s="37">
        <v>0</v>
      </c>
      <c r="L421" s="37"/>
      <c r="M421" s="37"/>
      <c r="N421" s="37">
        <f t="shared" si="48"/>
        <v>0</v>
      </c>
      <c r="O421" s="37">
        <v>0</v>
      </c>
      <c r="P421" s="172">
        <f aca="true" t="shared" si="49" ref="P421:P434">N421</f>
        <v>0</v>
      </c>
      <c r="Q421" s="172">
        <v>0</v>
      </c>
    </row>
    <row r="422" spans="1:17" s="112" customFormat="1" ht="14.25" customHeight="1">
      <c r="A422" s="171"/>
      <c r="B422" s="171" t="s">
        <v>221</v>
      </c>
      <c r="C422" s="42" t="s">
        <v>222</v>
      </c>
      <c r="D422" s="37">
        <v>338872</v>
      </c>
      <c r="E422" s="37">
        <v>347249</v>
      </c>
      <c r="F422" s="37">
        <v>4011</v>
      </c>
      <c r="G422" s="37">
        <v>5633</v>
      </c>
      <c r="H422" s="49">
        <v>240145</v>
      </c>
      <c r="I422" s="49">
        <v>0</v>
      </c>
      <c r="J422" s="49">
        <v>0</v>
      </c>
      <c r="K422" s="37">
        <v>283987</v>
      </c>
      <c r="L422" s="37"/>
      <c r="M422" s="49"/>
      <c r="N422" s="37">
        <f t="shared" si="48"/>
        <v>283987</v>
      </c>
      <c r="O422" s="37">
        <v>0</v>
      </c>
      <c r="P422" s="172">
        <f t="shared" si="49"/>
        <v>283987</v>
      </c>
      <c r="Q422" s="172">
        <v>0</v>
      </c>
    </row>
    <row r="423" spans="1:17" s="112" customFormat="1" ht="16.5" customHeight="1">
      <c r="A423" s="171"/>
      <c r="B423" s="171" t="s">
        <v>225</v>
      </c>
      <c r="C423" s="42" t="s">
        <v>226</v>
      </c>
      <c r="D423" s="37">
        <v>22404</v>
      </c>
      <c r="E423" s="37">
        <v>26837</v>
      </c>
      <c r="F423" s="37">
        <v>0</v>
      </c>
      <c r="G423" s="37">
        <v>0</v>
      </c>
      <c r="H423" s="37">
        <v>17713</v>
      </c>
      <c r="I423" s="37">
        <v>0</v>
      </c>
      <c r="J423" s="37">
        <v>0</v>
      </c>
      <c r="K423" s="37">
        <v>22479</v>
      </c>
      <c r="L423" s="37"/>
      <c r="M423" s="37">
        <v>482</v>
      </c>
      <c r="N423" s="37">
        <f t="shared" si="48"/>
        <v>21997</v>
      </c>
      <c r="O423" s="37">
        <v>0</v>
      </c>
      <c r="P423" s="172">
        <f t="shared" si="49"/>
        <v>21997</v>
      </c>
      <c r="Q423" s="172">
        <v>0</v>
      </c>
    </row>
    <row r="424" spans="1:17" s="112" customFormat="1" ht="15" customHeight="1">
      <c r="A424" s="171"/>
      <c r="B424" s="215" t="s">
        <v>290</v>
      </c>
      <c r="C424" s="42" t="s">
        <v>316</v>
      </c>
      <c r="D424" s="37">
        <v>73812</v>
      </c>
      <c r="E424" s="37">
        <v>65930</v>
      </c>
      <c r="F424" s="37">
        <v>360</v>
      </c>
      <c r="G424" s="37">
        <v>1005</v>
      </c>
      <c r="H424" s="37">
        <v>45324</v>
      </c>
      <c r="I424" s="37">
        <v>0</v>
      </c>
      <c r="J424" s="37">
        <v>0</v>
      </c>
      <c r="K424" s="37">
        <v>52867</v>
      </c>
      <c r="L424" s="37"/>
      <c r="M424" s="37"/>
      <c r="N424" s="37">
        <f t="shared" si="48"/>
        <v>52867</v>
      </c>
      <c r="O424" s="37">
        <v>0</v>
      </c>
      <c r="P424" s="172">
        <f t="shared" si="49"/>
        <v>52867</v>
      </c>
      <c r="Q424" s="172">
        <v>0</v>
      </c>
    </row>
    <row r="425" spans="1:17" s="112" customFormat="1" ht="14.25" customHeight="1">
      <c r="A425" s="171"/>
      <c r="B425" s="215" t="s">
        <v>229</v>
      </c>
      <c r="C425" s="42" t="s">
        <v>230</v>
      </c>
      <c r="D425" s="37"/>
      <c r="E425" s="37">
        <v>9068</v>
      </c>
      <c r="F425" s="37">
        <v>49</v>
      </c>
      <c r="G425" s="37">
        <v>138</v>
      </c>
      <c r="H425" s="37">
        <v>6263</v>
      </c>
      <c r="I425" s="37">
        <v>0</v>
      </c>
      <c r="J425" s="37">
        <v>0</v>
      </c>
      <c r="K425" s="37">
        <v>7651</v>
      </c>
      <c r="L425" s="37"/>
      <c r="M425" s="37"/>
      <c r="N425" s="37">
        <f t="shared" si="48"/>
        <v>7651</v>
      </c>
      <c r="O425" s="37">
        <v>0</v>
      </c>
      <c r="P425" s="172">
        <f t="shared" si="49"/>
        <v>7651</v>
      </c>
      <c r="Q425" s="172">
        <v>0</v>
      </c>
    </row>
    <row r="426" spans="1:17" s="112" customFormat="1" ht="14.25" customHeight="1">
      <c r="A426" s="171"/>
      <c r="B426" s="215" t="s">
        <v>261</v>
      </c>
      <c r="C426" s="42" t="s">
        <v>262</v>
      </c>
      <c r="D426" s="37"/>
      <c r="E426" s="37"/>
      <c r="F426" s="37"/>
      <c r="G426" s="37"/>
      <c r="H426" s="37"/>
      <c r="I426" s="37"/>
      <c r="J426" s="37"/>
      <c r="K426" s="37">
        <v>1000</v>
      </c>
      <c r="L426" s="37"/>
      <c r="M426" s="37"/>
      <c r="N426" s="37">
        <f t="shared" si="48"/>
        <v>1000</v>
      </c>
      <c r="O426" s="37">
        <v>0</v>
      </c>
      <c r="P426" s="172">
        <f t="shared" si="49"/>
        <v>1000</v>
      </c>
      <c r="Q426" s="172">
        <v>0</v>
      </c>
    </row>
    <row r="427" spans="1:17" s="112" customFormat="1" ht="15.75" customHeight="1">
      <c r="A427" s="171"/>
      <c r="B427" s="215" t="s">
        <v>231</v>
      </c>
      <c r="C427" s="42" t="s">
        <v>370</v>
      </c>
      <c r="D427" s="37"/>
      <c r="E427" s="37">
        <v>17339</v>
      </c>
      <c r="F427" s="37">
        <v>5526</v>
      </c>
      <c r="G427" s="37">
        <v>0</v>
      </c>
      <c r="H427" s="37">
        <v>25571</v>
      </c>
      <c r="I427" s="37">
        <v>0</v>
      </c>
      <c r="J427" s="37">
        <v>0</v>
      </c>
      <c r="K427" s="37">
        <v>13010</v>
      </c>
      <c r="L427" s="37"/>
      <c r="M427" s="37"/>
      <c r="N427" s="37">
        <f t="shared" si="48"/>
        <v>13010</v>
      </c>
      <c r="O427" s="37">
        <v>0</v>
      </c>
      <c r="P427" s="172">
        <f t="shared" si="49"/>
        <v>13010</v>
      </c>
      <c r="Q427" s="172">
        <v>0</v>
      </c>
    </row>
    <row r="428" spans="1:17" s="112" customFormat="1" ht="15" customHeight="1">
      <c r="A428" s="171"/>
      <c r="B428" s="215" t="s">
        <v>383</v>
      </c>
      <c r="C428" s="42" t="s">
        <v>450</v>
      </c>
      <c r="D428" s="37"/>
      <c r="E428" s="37">
        <v>4149</v>
      </c>
      <c r="F428" s="37">
        <v>0</v>
      </c>
      <c r="G428" s="37">
        <v>0</v>
      </c>
      <c r="H428" s="37">
        <v>1500</v>
      </c>
      <c r="I428" s="37">
        <v>0</v>
      </c>
      <c r="J428" s="37">
        <v>0</v>
      </c>
      <c r="K428" s="37">
        <v>2000</v>
      </c>
      <c r="L428" s="37"/>
      <c r="M428" s="37"/>
      <c r="N428" s="37">
        <f t="shared" si="48"/>
        <v>2000</v>
      </c>
      <c r="O428" s="37">
        <v>0</v>
      </c>
      <c r="P428" s="172">
        <f t="shared" si="49"/>
        <v>2000</v>
      </c>
      <c r="Q428" s="172">
        <v>0</v>
      </c>
    </row>
    <row r="429" spans="1:17" s="112" customFormat="1" ht="15.75" customHeight="1">
      <c r="A429" s="171"/>
      <c r="B429" s="215" t="s">
        <v>233</v>
      </c>
      <c r="C429" s="42" t="s">
        <v>291</v>
      </c>
      <c r="D429" s="37"/>
      <c r="E429" s="37">
        <v>4365</v>
      </c>
      <c r="F429" s="37">
        <v>350</v>
      </c>
      <c r="G429" s="37">
        <v>0</v>
      </c>
      <c r="H429" s="37">
        <v>3966</v>
      </c>
      <c r="I429" s="37">
        <v>0</v>
      </c>
      <c r="J429" s="37">
        <v>0</v>
      </c>
      <c r="K429" s="37">
        <v>3900</v>
      </c>
      <c r="L429" s="37"/>
      <c r="M429" s="37"/>
      <c r="N429" s="37">
        <f t="shared" si="48"/>
        <v>3900</v>
      </c>
      <c r="O429" s="37">
        <v>0</v>
      </c>
      <c r="P429" s="172">
        <f t="shared" si="49"/>
        <v>3900</v>
      </c>
      <c r="Q429" s="172">
        <v>0</v>
      </c>
    </row>
    <row r="430" spans="1:17" s="112" customFormat="1" ht="15" customHeight="1">
      <c r="A430" s="171"/>
      <c r="B430" s="215" t="s">
        <v>237</v>
      </c>
      <c r="C430" s="42" t="s">
        <v>297</v>
      </c>
      <c r="D430" s="37"/>
      <c r="E430" s="37">
        <v>6136</v>
      </c>
      <c r="F430" s="37">
        <v>800</v>
      </c>
      <c r="G430" s="37">
        <v>0</v>
      </c>
      <c r="H430" s="37">
        <v>6503</v>
      </c>
      <c r="I430" s="37">
        <v>0</v>
      </c>
      <c r="J430" s="37">
        <v>0</v>
      </c>
      <c r="K430" s="37">
        <v>7000</v>
      </c>
      <c r="L430" s="37">
        <v>482</v>
      </c>
      <c r="M430" s="37"/>
      <c r="N430" s="37">
        <f t="shared" si="48"/>
        <v>7482</v>
      </c>
      <c r="O430" s="37">
        <v>0</v>
      </c>
      <c r="P430" s="172">
        <f t="shared" si="49"/>
        <v>7482</v>
      </c>
      <c r="Q430" s="172">
        <v>0</v>
      </c>
    </row>
    <row r="431" spans="1:17" s="112" customFormat="1" ht="15" customHeight="1">
      <c r="A431" s="171"/>
      <c r="B431" s="215" t="s">
        <v>264</v>
      </c>
      <c r="C431" s="42" t="s">
        <v>309</v>
      </c>
      <c r="D431" s="37"/>
      <c r="E431" s="37"/>
      <c r="F431" s="37"/>
      <c r="G431" s="37"/>
      <c r="H431" s="37"/>
      <c r="I431" s="37"/>
      <c r="J431" s="37"/>
      <c r="K431" s="37">
        <v>1930</v>
      </c>
      <c r="L431" s="37"/>
      <c r="M431" s="37"/>
      <c r="N431" s="37">
        <f t="shared" si="48"/>
        <v>1930</v>
      </c>
      <c r="O431" s="37">
        <v>0</v>
      </c>
      <c r="P431" s="172">
        <f t="shared" si="49"/>
        <v>1930</v>
      </c>
      <c r="Q431" s="172">
        <v>0</v>
      </c>
    </row>
    <row r="432" spans="1:17" s="112" customFormat="1" ht="16.5" customHeight="1">
      <c r="A432" s="171"/>
      <c r="B432" s="215" t="s">
        <v>239</v>
      </c>
      <c r="C432" s="42" t="s">
        <v>240</v>
      </c>
      <c r="D432" s="37"/>
      <c r="E432" s="37">
        <v>1250</v>
      </c>
      <c r="F432" s="37">
        <v>100</v>
      </c>
      <c r="G432" s="37">
        <v>0</v>
      </c>
      <c r="H432" s="37">
        <v>2500</v>
      </c>
      <c r="I432" s="37">
        <v>0</v>
      </c>
      <c r="J432" s="37">
        <v>0</v>
      </c>
      <c r="K432" s="37">
        <v>3000</v>
      </c>
      <c r="L432" s="37"/>
      <c r="M432" s="37"/>
      <c r="N432" s="37">
        <f t="shared" si="48"/>
        <v>3000</v>
      </c>
      <c r="O432" s="37">
        <v>0</v>
      </c>
      <c r="P432" s="172">
        <f t="shared" si="49"/>
        <v>3000</v>
      </c>
      <c r="Q432" s="172">
        <v>0</v>
      </c>
    </row>
    <row r="433" spans="1:17" s="112" customFormat="1" ht="15.75" customHeight="1">
      <c r="A433" s="171"/>
      <c r="B433" s="171" t="s">
        <v>243</v>
      </c>
      <c r="C433" s="75" t="s">
        <v>244</v>
      </c>
      <c r="D433" s="37"/>
      <c r="E433" s="37">
        <v>21517</v>
      </c>
      <c r="F433" s="37">
        <v>0</v>
      </c>
      <c r="G433" s="37">
        <v>0</v>
      </c>
      <c r="H433" s="37">
        <v>11800</v>
      </c>
      <c r="I433" s="37">
        <v>0</v>
      </c>
      <c r="J433" s="37">
        <v>0</v>
      </c>
      <c r="K433" s="37">
        <v>16560</v>
      </c>
      <c r="L433" s="37"/>
      <c r="M433" s="37"/>
      <c r="N433" s="37">
        <f t="shared" si="48"/>
        <v>16560</v>
      </c>
      <c r="O433" s="37">
        <v>0</v>
      </c>
      <c r="P433" s="172">
        <f t="shared" si="49"/>
        <v>16560</v>
      </c>
      <c r="Q433" s="172">
        <v>0</v>
      </c>
    </row>
    <row r="434" spans="1:17" s="112" customFormat="1" ht="15" customHeight="1">
      <c r="A434" s="171"/>
      <c r="B434" s="171" t="s">
        <v>266</v>
      </c>
      <c r="C434" s="75" t="s">
        <v>267</v>
      </c>
      <c r="D434" s="37"/>
      <c r="E434" s="37"/>
      <c r="F434" s="37"/>
      <c r="G434" s="37"/>
      <c r="H434" s="37">
        <v>1217</v>
      </c>
      <c r="I434" s="37">
        <v>0</v>
      </c>
      <c r="J434" s="37">
        <v>0</v>
      </c>
      <c r="K434" s="37">
        <v>616</v>
      </c>
      <c r="L434" s="37"/>
      <c r="M434" s="37"/>
      <c r="N434" s="37">
        <f t="shared" si="48"/>
        <v>616</v>
      </c>
      <c r="O434" s="37">
        <v>0</v>
      </c>
      <c r="P434" s="172">
        <f t="shared" si="49"/>
        <v>616</v>
      </c>
      <c r="Q434" s="172">
        <v>0</v>
      </c>
    </row>
    <row r="435" spans="1:17" s="112" customFormat="1" ht="16.5" customHeight="1">
      <c r="A435" s="175" t="s">
        <v>176</v>
      </c>
      <c r="B435" s="175"/>
      <c r="C435" s="181" t="s">
        <v>175</v>
      </c>
      <c r="D435" s="178" t="e">
        <f>D437+D438+D439+#REF!+#REF!</f>
        <v>#REF!</v>
      </c>
      <c r="E435" s="178" t="e">
        <f>E437+E438+E439+E440+E436+#REF!+#REF!+#REF!+#REF!+#REF!+#REF!+#REF!+#REF!</f>
        <v>#REF!</v>
      </c>
      <c r="F435" s="178" t="e">
        <f>F437+F438+F439+F440+F436+#REF!+#REF!+#REF!+#REF!+#REF!+#REF!+#REF!+#REF!</f>
        <v>#REF!</v>
      </c>
      <c r="G435" s="178" t="e">
        <f>G437+G438+G439+G440+G436+#REF!+#REF!+#REF!+#REF!+#REF!+#REF!+#REF!+#REF!</f>
        <v>#REF!</v>
      </c>
      <c r="H435" s="178" t="e">
        <f>H437+H438+H439+H440+H436+#REF!+H442+H443+H445+H446+H447+#REF!</f>
        <v>#REF!</v>
      </c>
      <c r="I435" s="178" t="e">
        <f>I437+I438+I439+I440+I436+#REF!+I442+I443+I445+I446+I447</f>
        <v>#REF!</v>
      </c>
      <c r="J435" s="178" t="e">
        <f>J437+J438+J439+J440+J436+#REF!+J442+J443+J445+J446+J447</f>
        <v>#REF!</v>
      </c>
      <c r="K435" s="178">
        <f>SUM(K436:K449)</f>
        <v>1580280</v>
      </c>
      <c r="L435" s="178">
        <f>SUM(L436:L449)</f>
        <v>20156</v>
      </c>
      <c r="M435" s="178">
        <f>SUM(M436:M449)</f>
        <v>4884</v>
      </c>
      <c r="N435" s="178">
        <f t="shared" si="48"/>
        <v>1595552</v>
      </c>
      <c r="O435" s="178">
        <f>SUM(O436:O449)</f>
        <v>0</v>
      </c>
      <c r="P435" s="178">
        <f>SUM(P436:P449)</f>
        <v>1595552</v>
      </c>
      <c r="Q435" s="178">
        <f>SUM(Q436:Q449)</f>
        <v>0</v>
      </c>
    </row>
    <row r="436" spans="1:17" s="112" customFormat="1" ht="14.25" customHeight="1">
      <c r="A436" s="171"/>
      <c r="B436" s="215" t="s">
        <v>217</v>
      </c>
      <c r="C436" s="75" t="s">
        <v>372</v>
      </c>
      <c r="D436" s="37"/>
      <c r="E436" s="37">
        <v>1600</v>
      </c>
      <c r="F436" s="37">
        <v>0</v>
      </c>
      <c r="G436" s="37">
        <v>140</v>
      </c>
      <c r="H436" s="49">
        <v>2734</v>
      </c>
      <c r="I436" s="49">
        <v>0</v>
      </c>
      <c r="J436" s="49">
        <v>0</v>
      </c>
      <c r="K436" s="37">
        <v>0</v>
      </c>
      <c r="L436" s="37">
        <v>2286</v>
      </c>
      <c r="M436" s="49"/>
      <c r="N436" s="37">
        <f t="shared" si="48"/>
        <v>2286</v>
      </c>
      <c r="O436" s="37">
        <v>0</v>
      </c>
      <c r="P436" s="172">
        <f aca="true" t="shared" si="50" ref="P436:P449">N436</f>
        <v>2286</v>
      </c>
      <c r="Q436" s="172">
        <v>0</v>
      </c>
    </row>
    <row r="437" spans="1:17" s="112" customFormat="1" ht="14.25" customHeight="1">
      <c r="A437" s="171"/>
      <c r="B437" s="171" t="s">
        <v>221</v>
      </c>
      <c r="C437" s="75" t="s">
        <v>258</v>
      </c>
      <c r="D437" s="37">
        <v>760149</v>
      </c>
      <c r="E437" s="37">
        <v>761652</v>
      </c>
      <c r="F437" s="37">
        <v>1187</v>
      </c>
      <c r="G437" s="37">
        <v>0</v>
      </c>
      <c r="H437" s="37">
        <v>374354</v>
      </c>
      <c r="I437" s="37">
        <v>0</v>
      </c>
      <c r="J437" s="37">
        <v>0</v>
      </c>
      <c r="K437" s="37">
        <v>463820</v>
      </c>
      <c r="L437" s="37"/>
      <c r="M437" s="37">
        <v>4884</v>
      </c>
      <c r="N437" s="37">
        <f t="shared" si="48"/>
        <v>458936</v>
      </c>
      <c r="O437" s="37">
        <v>0</v>
      </c>
      <c r="P437" s="172">
        <f t="shared" si="50"/>
        <v>458936</v>
      </c>
      <c r="Q437" s="172">
        <v>0</v>
      </c>
    </row>
    <row r="438" spans="1:17" s="112" customFormat="1" ht="14.25" customHeight="1">
      <c r="A438" s="171"/>
      <c r="B438" s="171" t="s">
        <v>225</v>
      </c>
      <c r="C438" s="75" t="s">
        <v>226</v>
      </c>
      <c r="D438" s="37">
        <v>56427</v>
      </c>
      <c r="E438" s="37">
        <v>62354</v>
      </c>
      <c r="F438" s="37">
        <v>0</v>
      </c>
      <c r="G438" s="37">
        <v>0</v>
      </c>
      <c r="H438" s="49">
        <v>32155</v>
      </c>
      <c r="I438" s="49">
        <v>0</v>
      </c>
      <c r="J438" s="49">
        <v>0</v>
      </c>
      <c r="K438" s="37">
        <v>39282</v>
      </c>
      <c r="L438" s="37">
        <v>2598</v>
      </c>
      <c r="M438" s="49"/>
      <c r="N438" s="37">
        <f t="shared" si="48"/>
        <v>41880</v>
      </c>
      <c r="O438" s="37">
        <v>0</v>
      </c>
      <c r="P438" s="172">
        <f t="shared" si="50"/>
        <v>41880</v>
      </c>
      <c r="Q438" s="172">
        <v>0</v>
      </c>
    </row>
    <row r="439" spans="1:17" s="112" customFormat="1" ht="14.25" customHeight="1">
      <c r="A439" s="171"/>
      <c r="B439" s="215" t="s">
        <v>290</v>
      </c>
      <c r="C439" s="75" t="s">
        <v>260</v>
      </c>
      <c r="D439" s="37">
        <v>162435</v>
      </c>
      <c r="E439" s="37">
        <v>143919</v>
      </c>
      <c r="F439" s="37">
        <v>212</v>
      </c>
      <c r="G439" s="37">
        <v>0</v>
      </c>
      <c r="H439" s="49">
        <v>69400</v>
      </c>
      <c r="I439" s="49">
        <v>0</v>
      </c>
      <c r="J439" s="49">
        <v>0</v>
      </c>
      <c r="K439" s="37">
        <v>84056</v>
      </c>
      <c r="L439" s="37"/>
      <c r="M439" s="49"/>
      <c r="N439" s="37">
        <f t="shared" si="48"/>
        <v>84056</v>
      </c>
      <c r="O439" s="37">
        <v>0</v>
      </c>
      <c r="P439" s="172">
        <f t="shared" si="50"/>
        <v>84056</v>
      </c>
      <c r="Q439" s="172">
        <v>0</v>
      </c>
    </row>
    <row r="440" spans="1:17" s="112" customFormat="1" ht="15.75" customHeight="1">
      <c r="A440" s="171"/>
      <c r="B440" s="215" t="s">
        <v>229</v>
      </c>
      <c r="C440" s="75" t="s">
        <v>230</v>
      </c>
      <c r="D440" s="37"/>
      <c r="E440" s="37">
        <v>19637</v>
      </c>
      <c r="F440" s="37">
        <v>29</v>
      </c>
      <c r="G440" s="37">
        <v>0</v>
      </c>
      <c r="H440" s="49">
        <v>9470</v>
      </c>
      <c r="I440" s="49">
        <v>0</v>
      </c>
      <c r="J440" s="49">
        <v>0</v>
      </c>
      <c r="K440" s="37">
        <v>11720</v>
      </c>
      <c r="L440" s="37"/>
      <c r="M440" s="49"/>
      <c r="N440" s="37">
        <f t="shared" si="48"/>
        <v>11720</v>
      </c>
      <c r="O440" s="37">
        <v>0</v>
      </c>
      <c r="P440" s="172">
        <f t="shared" si="50"/>
        <v>11720</v>
      </c>
      <c r="Q440" s="172">
        <v>0</v>
      </c>
    </row>
    <row r="441" spans="1:17" s="112" customFormat="1" ht="13.5" customHeight="1">
      <c r="A441" s="171"/>
      <c r="B441" s="215" t="s">
        <v>261</v>
      </c>
      <c r="C441" s="75" t="s">
        <v>262</v>
      </c>
      <c r="D441" s="37"/>
      <c r="E441" s="37"/>
      <c r="F441" s="37"/>
      <c r="G441" s="37"/>
      <c r="H441" s="49"/>
      <c r="I441" s="49"/>
      <c r="J441" s="49"/>
      <c r="K441" s="37">
        <v>5000</v>
      </c>
      <c r="L441" s="37"/>
      <c r="M441" s="49"/>
      <c r="N441" s="37">
        <f t="shared" si="48"/>
        <v>5000</v>
      </c>
      <c r="O441" s="37">
        <v>0</v>
      </c>
      <c r="P441" s="172">
        <f t="shared" si="50"/>
        <v>5000</v>
      </c>
      <c r="Q441" s="172">
        <v>0</v>
      </c>
    </row>
    <row r="442" spans="1:17" s="112" customFormat="1" ht="13.5" customHeight="1">
      <c r="A442" s="171"/>
      <c r="B442" s="215" t="s">
        <v>231</v>
      </c>
      <c r="C442" s="75" t="s">
        <v>263</v>
      </c>
      <c r="D442" s="37">
        <v>200</v>
      </c>
      <c r="E442" s="37">
        <v>0</v>
      </c>
      <c r="F442" s="37"/>
      <c r="G442" s="37"/>
      <c r="H442" s="49">
        <v>275062</v>
      </c>
      <c r="I442" s="49">
        <v>0</v>
      </c>
      <c r="J442" s="49">
        <v>0</v>
      </c>
      <c r="K442" s="37">
        <v>221266</v>
      </c>
      <c r="L442" s="37"/>
      <c r="M442" s="49"/>
      <c r="N442" s="37">
        <f t="shared" si="48"/>
        <v>221266</v>
      </c>
      <c r="O442" s="37">
        <v>0</v>
      </c>
      <c r="P442" s="172">
        <f t="shared" si="50"/>
        <v>221266</v>
      </c>
      <c r="Q442" s="172">
        <v>0</v>
      </c>
    </row>
    <row r="443" spans="1:17" s="112" customFormat="1" ht="13.5" customHeight="1">
      <c r="A443" s="171"/>
      <c r="B443" s="215" t="s">
        <v>233</v>
      </c>
      <c r="C443" s="75" t="s">
        <v>291</v>
      </c>
      <c r="D443" s="37"/>
      <c r="E443" s="37"/>
      <c r="F443" s="37"/>
      <c r="G443" s="37"/>
      <c r="H443" s="49">
        <v>85600</v>
      </c>
      <c r="I443" s="49">
        <v>0</v>
      </c>
      <c r="J443" s="49">
        <v>0</v>
      </c>
      <c r="K443" s="37">
        <v>74954</v>
      </c>
      <c r="L443" s="37"/>
      <c r="M443" s="49"/>
      <c r="N443" s="37">
        <f t="shared" si="48"/>
        <v>74954</v>
      </c>
      <c r="O443" s="37">
        <v>0</v>
      </c>
      <c r="P443" s="172">
        <f t="shared" si="50"/>
        <v>74954</v>
      </c>
      <c r="Q443" s="172">
        <v>0</v>
      </c>
    </row>
    <row r="444" spans="1:17" s="112" customFormat="1" ht="13.5" customHeight="1">
      <c r="A444" s="171"/>
      <c r="B444" s="215" t="s">
        <v>338</v>
      </c>
      <c r="C444" s="75" t="s">
        <v>339</v>
      </c>
      <c r="D444" s="37"/>
      <c r="E444" s="37"/>
      <c r="F444" s="37"/>
      <c r="G444" s="37"/>
      <c r="H444" s="49"/>
      <c r="I444" s="49"/>
      <c r="J444" s="49"/>
      <c r="K444" s="37">
        <v>660</v>
      </c>
      <c r="L444" s="37"/>
      <c r="M444" s="49"/>
      <c r="N444" s="37">
        <f t="shared" si="48"/>
        <v>660</v>
      </c>
      <c r="O444" s="37">
        <v>0</v>
      </c>
      <c r="P444" s="172">
        <f t="shared" si="50"/>
        <v>660</v>
      </c>
      <c r="Q444" s="172">
        <v>0</v>
      </c>
    </row>
    <row r="445" spans="1:17" s="112" customFormat="1" ht="13.5" customHeight="1">
      <c r="A445" s="171"/>
      <c r="B445" s="215" t="s">
        <v>237</v>
      </c>
      <c r="C445" s="75" t="s">
        <v>297</v>
      </c>
      <c r="D445" s="37"/>
      <c r="E445" s="37"/>
      <c r="F445" s="37"/>
      <c r="G445" s="37"/>
      <c r="H445" s="49">
        <v>39410</v>
      </c>
      <c r="I445" s="49">
        <v>0</v>
      </c>
      <c r="J445" s="49">
        <v>0</v>
      </c>
      <c r="K445" s="37">
        <v>34763</v>
      </c>
      <c r="L445" s="37"/>
      <c r="M445" s="49"/>
      <c r="N445" s="37">
        <f t="shared" si="48"/>
        <v>34763</v>
      </c>
      <c r="O445" s="37">
        <v>0</v>
      </c>
      <c r="P445" s="172">
        <f t="shared" si="50"/>
        <v>34763</v>
      </c>
      <c r="Q445" s="172">
        <v>0</v>
      </c>
    </row>
    <row r="446" spans="1:17" s="112" customFormat="1" ht="13.5" customHeight="1">
      <c r="A446" s="171"/>
      <c r="B446" s="215" t="s">
        <v>243</v>
      </c>
      <c r="C446" s="75" t="s">
        <v>244</v>
      </c>
      <c r="D446" s="37"/>
      <c r="E446" s="37"/>
      <c r="F446" s="37"/>
      <c r="G446" s="37"/>
      <c r="H446" s="49">
        <v>15678</v>
      </c>
      <c r="I446" s="49">
        <v>0</v>
      </c>
      <c r="J446" s="49">
        <v>0</v>
      </c>
      <c r="K446" s="37">
        <v>27159</v>
      </c>
      <c r="L446" s="37"/>
      <c r="M446" s="49"/>
      <c r="N446" s="37">
        <f t="shared" si="48"/>
        <v>27159</v>
      </c>
      <c r="O446" s="37">
        <v>0</v>
      </c>
      <c r="P446" s="172">
        <f t="shared" si="50"/>
        <v>27159</v>
      </c>
      <c r="Q446" s="172">
        <v>0</v>
      </c>
    </row>
    <row r="447" spans="1:17" s="112" customFormat="1" ht="15.75" customHeight="1">
      <c r="A447" s="171"/>
      <c r="B447" s="215" t="s">
        <v>266</v>
      </c>
      <c r="C447" s="75" t="s">
        <v>267</v>
      </c>
      <c r="D447" s="37"/>
      <c r="E447" s="37">
        <v>94026</v>
      </c>
      <c r="F447" s="37">
        <v>0</v>
      </c>
      <c r="G447" s="37">
        <v>0</v>
      </c>
      <c r="H447" s="49">
        <v>4200</v>
      </c>
      <c r="I447" s="49">
        <v>0</v>
      </c>
      <c r="J447" s="49">
        <v>0</v>
      </c>
      <c r="K447" s="37">
        <v>6200</v>
      </c>
      <c r="L447" s="37"/>
      <c r="M447" s="49"/>
      <c r="N447" s="37">
        <f t="shared" si="48"/>
        <v>6200</v>
      </c>
      <c r="O447" s="37">
        <v>0</v>
      </c>
      <c r="P447" s="172">
        <f t="shared" si="50"/>
        <v>6200</v>
      </c>
      <c r="Q447" s="172">
        <v>0</v>
      </c>
    </row>
    <row r="448" spans="1:17" s="112" customFormat="1" ht="15.75" customHeight="1">
      <c r="A448" s="171"/>
      <c r="B448" s="215" t="s">
        <v>451</v>
      </c>
      <c r="C448" s="75" t="s">
        <v>452</v>
      </c>
      <c r="D448" s="37"/>
      <c r="E448" s="37"/>
      <c r="F448" s="37"/>
      <c r="G448" s="37"/>
      <c r="H448" s="49"/>
      <c r="I448" s="49"/>
      <c r="J448" s="49"/>
      <c r="K448" s="37">
        <v>450000</v>
      </c>
      <c r="L448" s="37"/>
      <c r="M448" s="49"/>
      <c r="N448" s="37">
        <f t="shared" si="48"/>
        <v>450000</v>
      </c>
      <c r="O448" s="37"/>
      <c r="P448" s="172">
        <f t="shared" si="50"/>
        <v>450000</v>
      </c>
      <c r="Q448" s="172"/>
    </row>
    <row r="449" spans="1:17" s="112" customFormat="1" ht="15" customHeight="1">
      <c r="A449" s="171"/>
      <c r="B449" s="215" t="s">
        <v>453</v>
      </c>
      <c r="C449" s="75" t="s">
        <v>452</v>
      </c>
      <c r="D449" s="37"/>
      <c r="E449" s="37"/>
      <c r="F449" s="37"/>
      <c r="G449" s="37"/>
      <c r="H449" s="49"/>
      <c r="I449" s="49"/>
      <c r="J449" s="49"/>
      <c r="K449" s="37">
        <v>161400</v>
      </c>
      <c r="L449" s="37">
        <v>15272</v>
      </c>
      <c r="M449" s="49"/>
      <c r="N449" s="37">
        <f t="shared" si="48"/>
        <v>176672</v>
      </c>
      <c r="O449" s="37"/>
      <c r="P449" s="172">
        <f t="shared" si="50"/>
        <v>176672</v>
      </c>
      <c r="Q449" s="172"/>
    </row>
    <row r="450" spans="1:17" s="112" customFormat="1" ht="16.5" customHeight="1">
      <c r="A450" s="175" t="s">
        <v>180</v>
      </c>
      <c r="B450" s="217"/>
      <c r="C450" s="181" t="s">
        <v>454</v>
      </c>
      <c r="D450" s="178"/>
      <c r="E450" s="178"/>
      <c r="F450" s="178"/>
      <c r="G450" s="178"/>
      <c r="H450" s="178">
        <f>H451</f>
        <v>5083</v>
      </c>
      <c r="I450" s="178">
        <f>I451</f>
        <v>0</v>
      </c>
      <c r="J450" s="178">
        <f>J451</f>
        <v>0</v>
      </c>
      <c r="K450" s="178">
        <f>SUM(K451:K459)</f>
        <v>364160</v>
      </c>
      <c r="L450" s="178">
        <f>SUM(L451:L459)</f>
        <v>50000</v>
      </c>
      <c r="M450" s="178">
        <f>SUM(M451:M459)</f>
        <v>0</v>
      </c>
      <c r="N450" s="178">
        <f t="shared" si="48"/>
        <v>414160</v>
      </c>
      <c r="O450" s="178">
        <f>SUM(O451:O459)</f>
        <v>0</v>
      </c>
      <c r="P450" s="178">
        <f>SUM(P451:P459)</f>
        <v>414160</v>
      </c>
      <c r="Q450" s="178">
        <f>SUM(Q451:Q459)</f>
        <v>0</v>
      </c>
    </row>
    <row r="451" spans="1:17" s="112" customFormat="1" ht="15" customHeight="1">
      <c r="A451" s="171"/>
      <c r="B451" s="215" t="s">
        <v>455</v>
      </c>
      <c r="C451" s="75" t="s">
        <v>456</v>
      </c>
      <c r="D451" s="37"/>
      <c r="E451" s="37"/>
      <c r="F451" s="37"/>
      <c r="G451" s="37"/>
      <c r="H451" s="49">
        <v>5083</v>
      </c>
      <c r="I451" s="49">
        <v>0</v>
      </c>
      <c r="J451" s="49">
        <v>0</v>
      </c>
      <c r="K451" s="49">
        <v>6000</v>
      </c>
      <c r="L451" s="49"/>
      <c r="M451" s="49"/>
      <c r="N451" s="37">
        <f t="shared" si="48"/>
        <v>6000</v>
      </c>
      <c r="O451" s="37">
        <v>0</v>
      </c>
      <c r="P451" s="172">
        <f aca="true" t="shared" si="51" ref="P451:P459">N451</f>
        <v>6000</v>
      </c>
      <c r="Q451" s="172">
        <v>0</v>
      </c>
    </row>
    <row r="452" spans="1:17" s="112" customFormat="1" ht="15" customHeight="1">
      <c r="A452" s="171"/>
      <c r="B452" s="215" t="s">
        <v>457</v>
      </c>
      <c r="C452" s="75" t="s">
        <v>456</v>
      </c>
      <c r="D452" s="37"/>
      <c r="E452" s="37"/>
      <c r="F452" s="37"/>
      <c r="G452" s="37"/>
      <c r="H452" s="49">
        <v>5083</v>
      </c>
      <c r="I452" s="49">
        <v>0</v>
      </c>
      <c r="J452" s="49">
        <v>0</v>
      </c>
      <c r="K452" s="49">
        <v>233240</v>
      </c>
      <c r="L452" s="49">
        <v>33319</v>
      </c>
      <c r="M452" s="49"/>
      <c r="N452" s="37">
        <f t="shared" si="48"/>
        <v>266559</v>
      </c>
      <c r="O452" s="37">
        <v>0</v>
      </c>
      <c r="P452" s="172">
        <f t="shared" si="51"/>
        <v>266559</v>
      </c>
      <c r="Q452" s="172">
        <v>0</v>
      </c>
    </row>
    <row r="453" spans="1:17" s="112" customFormat="1" ht="15" customHeight="1">
      <c r="A453" s="171"/>
      <c r="B453" s="215" t="s">
        <v>458</v>
      </c>
      <c r="C453" s="75" t="s">
        <v>456</v>
      </c>
      <c r="D453" s="37"/>
      <c r="E453" s="37"/>
      <c r="F453" s="37"/>
      <c r="G453" s="37"/>
      <c r="H453" s="49">
        <v>5083</v>
      </c>
      <c r="I453" s="49">
        <v>0</v>
      </c>
      <c r="J453" s="49">
        <v>0</v>
      </c>
      <c r="K453" s="49">
        <v>109760</v>
      </c>
      <c r="L453" s="49">
        <v>15681</v>
      </c>
      <c r="M453" s="49"/>
      <c r="N453" s="37">
        <f t="shared" si="48"/>
        <v>125441</v>
      </c>
      <c r="O453" s="37">
        <v>0</v>
      </c>
      <c r="P453" s="172">
        <f t="shared" si="51"/>
        <v>125441</v>
      </c>
      <c r="Q453" s="172">
        <v>0</v>
      </c>
    </row>
    <row r="454" spans="1:17" s="112" customFormat="1" ht="15" customHeight="1">
      <c r="A454" s="171"/>
      <c r="B454" s="215" t="s">
        <v>403</v>
      </c>
      <c r="C454" s="75" t="s">
        <v>262</v>
      </c>
      <c r="D454" s="37"/>
      <c r="E454" s="37"/>
      <c r="F454" s="37"/>
      <c r="G454" s="37"/>
      <c r="H454" s="49">
        <v>5083</v>
      </c>
      <c r="I454" s="49">
        <v>0</v>
      </c>
      <c r="J454" s="49">
        <v>0</v>
      </c>
      <c r="K454" s="49">
        <v>2856</v>
      </c>
      <c r="L454" s="49"/>
      <c r="M454" s="49"/>
      <c r="N454" s="37">
        <f t="shared" si="48"/>
        <v>2856</v>
      </c>
      <c r="O454" s="37">
        <v>0</v>
      </c>
      <c r="P454" s="172">
        <f t="shared" si="51"/>
        <v>2856</v>
      </c>
      <c r="Q454" s="172">
        <v>0</v>
      </c>
    </row>
    <row r="455" spans="1:17" s="112" customFormat="1" ht="15" customHeight="1">
      <c r="A455" s="171"/>
      <c r="B455" s="215" t="s">
        <v>404</v>
      </c>
      <c r="C455" s="75" t="s">
        <v>262</v>
      </c>
      <c r="D455" s="37"/>
      <c r="E455" s="37"/>
      <c r="F455" s="37"/>
      <c r="G455" s="37"/>
      <c r="H455" s="49">
        <v>5083</v>
      </c>
      <c r="I455" s="49">
        <v>0</v>
      </c>
      <c r="J455" s="49">
        <v>0</v>
      </c>
      <c r="K455" s="49">
        <v>1344</v>
      </c>
      <c r="L455" s="49"/>
      <c r="M455" s="49"/>
      <c r="N455" s="37">
        <f t="shared" si="48"/>
        <v>1344</v>
      </c>
      <c r="O455" s="37">
        <v>0</v>
      </c>
      <c r="P455" s="172">
        <f t="shared" si="51"/>
        <v>1344</v>
      </c>
      <c r="Q455" s="172">
        <v>0</v>
      </c>
    </row>
    <row r="456" spans="1:17" s="112" customFormat="1" ht="15" customHeight="1">
      <c r="A456" s="171"/>
      <c r="B456" s="215" t="s">
        <v>405</v>
      </c>
      <c r="C456" s="75" t="s">
        <v>263</v>
      </c>
      <c r="D456" s="37"/>
      <c r="E456" s="37"/>
      <c r="F456" s="37"/>
      <c r="G456" s="37"/>
      <c r="H456" s="49"/>
      <c r="I456" s="49"/>
      <c r="J456" s="49"/>
      <c r="K456" s="49">
        <v>0</v>
      </c>
      <c r="L456" s="49">
        <v>612</v>
      </c>
      <c r="M456" s="49"/>
      <c r="N456" s="37">
        <f t="shared" si="48"/>
        <v>612</v>
      </c>
      <c r="O456" s="37"/>
      <c r="P456" s="172">
        <f t="shared" si="51"/>
        <v>612</v>
      </c>
      <c r="Q456" s="172"/>
    </row>
    <row r="457" spans="1:17" s="112" customFormat="1" ht="15" customHeight="1">
      <c r="A457" s="171"/>
      <c r="B457" s="215" t="s">
        <v>406</v>
      </c>
      <c r="C457" s="75" t="s">
        <v>263</v>
      </c>
      <c r="D457" s="37"/>
      <c r="E457" s="37"/>
      <c r="F457" s="37"/>
      <c r="G457" s="37"/>
      <c r="H457" s="49"/>
      <c r="I457" s="49"/>
      <c r="J457" s="49"/>
      <c r="K457" s="49">
        <v>0</v>
      </c>
      <c r="L457" s="49">
        <v>288</v>
      </c>
      <c r="M457" s="49"/>
      <c r="N457" s="37">
        <f t="shared" si="48"/>
        <v>288</v>
      </c>
      <c r="O457" s="37"/>
      <c r="P457" s="172">
        <f t="shared" si="51"/>
        <v>288</v>
      </c>
      <c r="Q457" s="172"/>
    </row>
    <row r="458" spans="1:17" s="112" customFormat="1" ht="15" customHeight="1">
      <c r="A458" s="171"/>
      <c r="B458" s="215" t="s">
        <v>407</v>
      </c>
      <c r="C458" s="75" t="s">
        <v>297</v>
      </c>
      <c r="D458" s="37"/>
      <c r="E458" s="37"/>
      <c r="F458" s="37"/>
      <c r="G458" s="37"/>
      <c r="H458" s="49">
        <v>5083</v>
      </c>
      <c r="I458" s="49">
        <v>0</v>
      </c>
      <c r="J458" s="49">
        <v>0</v>
      </c>
      <c r="K458" s="49">
        <v>7453</v>
      </c>
      <c r="L458" s="49">
        <v>68</v>
      </c>
      <c r="M458" s="49"/>
      <c r="N458" s="37">
        <f t="shared" si="48"/>
        <v>7521</v>
      </c>
      <c r="O458" s="37">
        <v>0</v>
      </c>
      <c r="P458" s="172">
        <f t="shared" si="51"/>
        <v>7521</v>
      </c>
      <c r="Q458" s="172">
        <v>0</v>
      </c>
    </row>
    <row r="459" spans="1:17" s="112" customFormat="1" ht="15" customHeight="1">
      <c r="A459" s="171"/>
      <c r="B459" s="215" t="s">
        <v>408</v>
      </c>
      <c r="C459" s="75" t="s">
        <v>297</v>
      </c>
      <c r="D459" s="37"/>
      <c r="E459" s="37"/>
      <c r="F459" s="37"/>
      <c r="G459" s="37"/>
      <c r="H459" s="49">
        <v>5083</v>
      </c>
      <c r="I459" s="49">
        <v>0</v>
      </c>
      <c r="J459" s="49">
        <v>0</v>
      </c>
      <c r="K459" s="49">
        <v>3507</v>
      </c>
      <c r="L459" s="49">
        <v>32</v>
      </c>
      <c r="M459" s="49"/>
      <c r="N459" s="37">
        <f t="shared" si="48"/>
        <v>3539</v>
      </c>
      <c r="O459" s="37">
        <v>0</v>
      </c>
      <c r="P459" s="172">
        <f t="shared" si="51"/>
        <v>3539</v>
      </c>
      <c r="Q459" s="172">
        <v>0</v>
      </c>
    </row>
    <row r="460" spans="1:17" s="112" customFormat="1" ht="16.5" customHeight="1">
      <c r="A460" s="175" t="s">
        <v>459</v>
      </c>
      <c r="B460" s="175"/>
      <c r="C460" s="181" t="s">
        <v>460</v>
      </c>
      <c r="D460" s="178">
        <f>D461+D463</f>
        <v>24996</v>
      </c>
      <c r="E460" s="178" t="e">
        <f>E461+E463+E464+#REF!+#REF!+#REF!</f>
        <v>#REF!</v>
      </c>
      <c r="F460" s="178" t="e">
        <f>F461+F463+F464+#REF!+#REF!+#REF!</f>
        <v>#REF!</v>
      </c>
      <c r="G460" s="178" t="e">
        <f>G461+G463+G464+#REF!+#REF!+#REF!</f>
        <v>#REF!</v>
      </c>
      <c r="H460" s="178" t="e">
        <f>H461+#REF!+#REF!+H463+H464</f>
        <v>#REF!</v>
      </c>
      <c r="I460" s="178" t="e">
        <f>I461+#REF!+#REF!+I463+I464</f>
        <v>#REF!</v>
      </c>
      <c r="J460" s="178" t="e">
        <f>J461+#REF!+#REF!+J463+J464</f>
        <v>#REF!</v>
      </c>
      <c r="K460" s="178">
        <f>K461+K462+K463+K464</f>
        <v>3900</v>
      </c>
      <c r="L460" s="178">
        <f>L461+L462+L463+L464</f>
        <v>0</v>
      </c>
      <c r="M460" s="178">
        <f>M461+M462+M463+M464</f>
        <v>0</v>
      </c>
      <c r="N460" s="188">
        <f t="shared" si="48"/>
        <v>3900</v>
      </c>
      <c r="O460" s="178">
        <f>O461+O462+O463+O464</f>
        <v>0</v>
      </c>
      <c r="P460" s="178">
        <f>P461+P462+P463+P464</f>
        <v>2400</v>
      </c>
      <c r="Q460" s="179">
        <f>Q461+Q462+Q463</f>
        <v>1500</v>
      </c>
    </row>
    <row r="461" spans="1:17" s="112" customFormat="1" ht="18" customHeight="1">
      <c r="A461" s="171"/>
      <c r="B461" s="171" t="s">
        <v>248</v>
      </c>
      <c r="C461" s="218" t="s">
        <v>461</v>
      </c>
      <c r="D461" s="37">
        <v>16664</v>
      </c>
      <c r="E461" s="37">
        <v>16664</v>
      </c>
      <c r="F461" s="37">
        <v>0</v>
      </c>
      <c r="G461" s="37">
        <v>0</v>
      </c>
      <c r="H461" s="49">
        <v>6000</v>
      </c>
      <c r="I461" s="49">
        <v>0</v>
      </c>
      <c r="J461" s="49">
        <v>0</v>
      </c>
      <c r="K461" s="37">
        <v>1500</v>
      </c>
      <c r="L461" s="37"/>
      <c r="M461" s="49"/>
      <c r="N461" s="37">
        <f t="shared" si="48"/>
        <v>1500</v>
      </c>
      <c r="O461" s="37">
        <v>0</v>
      </c>
      <c r="P461" s="172">
        <v>0</v>
      </c>
      <c r="Q461" s="172">
        <f>N461</f>
        <v>1500</v>
      </c>
    </row>
    <row r="462" spans="1:17" s="112" customFormat="1" ht="18.75" customHeight="1">
      <c r="A462" s="171"/>
      <c r="B462" s="171" t="s">
        <v>261</v>
      </c>
      <c r="C462" s="75" t="s">
        <v>262</v>
      </c>
      <c r="D462" s="37"/>
      <c r="E462" s="37"/>
      <c r="F462" s="37"/>
      <c r="G462" s="37"/>
      <c r="H462" s="49"/>
      <c r="I462" s="49"/>
      <c r="J462" s="49"/>
      <c r="K462" s="37">
        <v>1400</v>
      </c>
      <c r="L462" s="37"/>
      <c r="M462" s="49"/>
      <c r="N462" s="37">
        <f t="shared" si="48"/>
        <v>1400</v>
      </c>
      <c r="O462" s="37">
        <v>0</v>
      </c>
      <c r="P462" s="172">
        <f>N462</f>
        <v>1400</v>
      </c>
      <c r="Q462" s="172">
        <v>0</v>
      </c>
    </row>
    <row r="463" spans="1:17" s="112" customFormat="1" ht="19.5" customHeight="1">
      <c r="A463" s="171"/>
      <c r="B463" s="171" t="s">
        <v>231</v>
      </c>
      <c r="C463" s="75" t="s">
        <v>263</v>
      </c>
      <c r="D463" s="37">
        <v>8332</v>
      </c>
      <c r="E463" s="37">
        <v>3107</v>
      </c>
      <c r="F463" s="37">
        <v>0</v>
      </c>
      <c r="G463" s="37">
        <v>325</v>
      </c>
      <c r="H463" s="49">
        <v>832</v>
      </c>
      <c r="I463" s="49">
        <v>0</v>
      </c>
      <c r="J463" s="49">
        <v>0</v>
      </c>
      <c r="K463" s="37">
        <v>600</v>
      </c>
      <c r="L463" s="37"/>
      <c r="M463" s="49"/>
      <c r="N463" s="37">
        <f t="shared" si="48"/>
        <v>600</v>
      </c>
      <c r="O463" s="37">
        <v>0</v>
      </c>
      <c r="P463" s="172">
        <f>N463</f>
        <v>600</v>
      </c>
      <c r="Q463" s="172">
        <v>0</v>
      </c>
    </row>
    <row r="464" spans="1:17" s="112" customFormat="1" ht="18" customHeight="1">
      <c r="A464" s="171"/>
      <c r="B464" s="171" t="s">
        <v>237</v>
      </c>
      <c r="C464" s="75" t="s">
        <v>238</v>
      </c>
      <c r="D464" s="37"/>
      <c r="E464" s="37">
        <v>2500</v>
      </c>
      <c r="F464" s="37">
        <v>0</v>
      </c>
      <c r="G464" s="37">
        <v>0</v>
      </c>
      <c r="H464" s="49">
        <v>1800</v>
      </c>
      <c r="I464" s="49">
        <v>0</v>
      </c>
      <c r="J464" s="49">
        <v>0</v>
      </c>
      <c r="K464" s="37">
        <v>400</v>
      </c>
      <c r="L464" s="37"/>
      <c r="M464" s="49"/>
      <c r="N464" s="37">
        <f t="shared" si="48"/>
        <v>400</v>
      </c>
      <c r="O464" s="37">
        <v>0</v>
      </c>
      <c r="P464" s="172">
        <f>N464</f>
        <v>400</v>
      </c>
      <c r="Q464" s="172">
        <v>0</v>
      </c>
    </row>
    <row r="465" spans="1:17" s="112" customFormat="1" ht="19.5" customHeight="1">
      <c r="A465" s="175" t="s">
        <v>462</v>
      </c>
      <c r="B465" s="175"/>
      <c r="C465" s="181" t="s">
        <v>30</v>
      </c>
      <c r="D465" s="178"/>
      <c r="E465" s="178">
        <f aca="true" t="shared" si="52" ref="E465:K465">E466</f>
        <v>0</v>
      </c>
      <c r="F465" s="178">
        <f t="shared" si="52"/>
        <v>27582</v>
      </c>
      <c r="G465" s="178">
        <f t="shared" si="52"/>
        <v>0</v>
      </c>
      <c r="H465" s="178">
        <f t="shared" si="52"/>
        <v>12118</v>
      </c>
      <c r="I465" s="178">
        <f t="shared" si="52"/>
        <v>0</v>
      </c>
      <c r="J465" s="178">
        <f t="shared" si="52"/>
        <v>0</v>
      </c>
      <c r="K465" s="178">
        <f t="shared" si="52"/>
        <v>0</v>
      </c>
      <c r="L465" s="178"/>
      <c r="M465" s="178"/>
      <c r="N465" s="178">
        <f t="shared" si="48"/>
        <v>0</v>
      </c>
      <c r="O465" s="178">
        <f>O466</f>
        <v>0</v>
      </c>
      <c r="P465" s="179">
        <f>P466</f>
        <v>0</v>
      </c>
      <c r="Q465" s="179">
        <f>Q466</f>
        <v>0</v>
      </c>
    </row>
    <row r="466" spans="1:17" s="112" customFormat="1" ht="26.25" customHeight="1">
      <c r="A466" s="171"/>
      <c r="B466" s="171" t="s">
        <v>243</v>
      </c>
      <c r="C466" s="75" t="s">
        <v>463</v>
      </c>
      <c r="D466" s="37"/>
      <c r="E466" s="37">
        <v>0</v>
      </c>
      <c r="F466" s="37">
        <v>27582</v>
      </c>
      <c r="G466" s="37">
        <v>0</v>
      </c>
      <c r="H466" s="172">
        <v>12118</v>
      </c>
      <c r="I466" s="172">
        <v>0</v>
      </c>
      <c r="J466" s="172">
        <v>0</v>
      </c>
      <c r="K466" s="37">
        <v>0</v>
      </c>
      <c r="L466" s="37"/>
      <c r="M466" s="172"/>
      <c r="N466" s="37">
        <f t="shared" si="48"/>
        <v>0</v>
      </c>
      <c r="O466" s="37">
        <v>0</v>
      </c>
      <c r="P466" s="172">
        <f>N466</f>
        <v>0</v>
      </c>
      <c r="Q466" s="172">
        <v>0</v>
      </c>
    </row>
    <row r="467" spans="1:17" s="112" customFormat="1" ht="28.5" customHeight="1">
      <c r="A467" s="209" t="s">
        <v>464</v>
      </c>
      <c r="B467" s="209"/>
      <c r="C467" s="196" t="s">
        <v>465</v>
      </c>
      <c r="D467" s="183" t="e">
        <f aca="true" t="shared" si="53" ref="D467:M467">D468+D471</f>
        <v>#REF!</v>
      </c>
      <c r="E467" s="183">
        <f t="shared" si="53"/>
        <v>45000</v>
      </c>
      <c r="F467" s="183">
        <f t="shared" si="53"/>
        <v>0</v>
      </c>
      <c r="G467" s="183">
        <f t="shared" si="53"/>
        <v>0</v>
      </c>
      <c r="H467" s="183" t="e">
        <f t="shared" si="53"/>
        <v>#REF!</v>
      </c>
      <c r="I467" s="183" t="e">
        <f t="shared" si="53"/>
        <v>#REF!</v>
      </c>
      <c r="J467" s="183" t="e">
        <f t="shared" si="53"/>
        <v>#REF!</v>
      </c>
      <c r="K467" s="183">
        <f t="shared" si="53"/>
        <v>105100</v>
      </c>
      <c r="L467" s="183">
        <f t="shared" si="53"/>
        <v>0</v>
      </c>
      <c r="M467" s="183">
        <f t="shared" si="53"/>
        <v>0</v>
      </c>
      <c r="N467" s="183">
        <f t="shared" si="48"/>
        <v>105100</v>
      </c>
      <c r="O467" s="183">
        <f>O468+O471</f>
        <v>0</v>
      </c>
      <c r="P467" s="183">
        <f>P468+P471</f>
        <v>72100</v>
      </c>
      <c r="Q467" s="183">
        <f>Q468+Q471</f>
        <v>33000</v>
      </c>
    </row>
    <row r="468" spans="1:17" s="112" customFormat="1" ht="18" customHeight="1">
      <c r="A468" s="175" t="s">
        <v>466</v>
      </c>
      <c r="B468" s="175"/>
      <c r="C468" s="181" t="s">
        <v>186</v>
      </c>
      <c r="D468" s="178">
        <f aca="true" t="shared" si="54" ref="D468:J468">D469</f>
        <v>0</v>
      </c>
      <c r="E468" s="178">
        <f t="shared" si="54"/>
        <v>30000</v>
      </c>
      <c r="F468" s="178">
        <f t="shared" si="54"/>
        <v>0</v>
      </c>
      <c r="G468" s="178">
        <f t="shared" si="54"/>
        <v>0</v>
      </c>
      <c r="H468" s="178">
        <f t="shared" si="54"/>
        <v>30000</v>
      </c>
      <c r="I468" s="178">
        <f t="shared" si="54"/>
        <v>0</v>
      </c>
      <c r="J468" s="178">
        <f t="shared" si="54"/>
        <v>0</v>
      </c>
      <c r="K468" s="178">
        <f>K469+K470</f>
        <v>98000</v>
      </c>
      <c r="L468" s="178">
        <f>L469+L470</f>
        <v>0</v>
      </c>
      <c r="M468" s="178">
        <f>M469+M470</f>
        <v>0</v>
      </c>
      <c r="N468" s="178">
        <f t="shared" si="48"/>
        <v>98000</v>
      </c>
      <c r="O468" s="178">
        <f>O469</f>
        <v>0</v>
      </c>
      <c r="P468" s="179">
        <f>P469+P470</f>
        <v>65000</v>
      </c>
      <c r="Q468" s="179">
        <f>Q469</f>
        <v>33000</v>
      </c>
    </row>
    <row r="469" spans="1:17" s="112" customFormat="1" ht="22.5" customHeight="1">
      <c r="A469" s="171"/>
      <c r="B469" s="171" t="s">
        <v>248</v>
      </c>
      <c r="C469" s="75" t="s">
        <v>467</v>
      </c>
      <c r="D469" s="37">
        <v>0</v>
      </c>
      <c r="E469" s="37">
        <v>30000</v>
      </c>
      <c r="F469" s="37">
        <v>0</v>
      </c>
      <c r="G469" s="37">
        <v>0</v>
      </c>
      <c r="H469" s="37">
        <v>30000</v>
      </c>
      <c r="I469" s="37">
        <v>0</v>
      </c>
      <c r="J469" s="37">
        <v>0</v>
      </c>
      <c r="K469" s="37">
        <v>33000</v>
      </c>
      <c r="L469" s="37"/>
      <c r="M469" s="37"/>
      <c r="N469" s="37">
        <f t="shared" si="48"/>
        <v>33000</v>
      </c>
      <c r="O469" s="37">
        <v>0</v>
      </c>
      <c r="P469" s="172">
        <v>0</v>
      </c>
      <c r="Q469" s="172">
        <f>N469</f>
        <v>33000</v>
      </c>
    </row>
    <row r="470" spans="1:17" s="112" customFormat="1" ht="24" customHeight="1">
      <c r="A470" s="171"/>
      <c r="B470" s="171" t="s">
        <v>268</v>
      </c>
      <c r="C470" s="75" t="s">
        <v>468</v>
      </c>
      <c r="D470" s="37"/>
      <c r="E470" s="37"/>
      <c r="F470" s="37"/>
      <c r="G470" s="37"/>
      <c r="H470" s="37"/>
      <c r="I470" s="37"/>
      <c r="J470" s="37"/>
      <c r="K470" s="37">
        <v>65000</v>
      </c>
      <c r="L470" s="37"/>
      <c r="M470" s="37"/>
      <c r="N470" s="37">
        <f t="shared" si="48"/>
        <v>65000</v>
      </c>
      <c r="O470" s="37">
        <v>0</v>
      </c>
      <c r="P470" s="172">
        <f>N470</f>
        <v>65000</v>
      </c>
      <c r="Q470" s="172">
        <v>0</v>
      </c>
    </row>
    <row r="471" spans="1:17" s="112" customFormat="1" ht="15" customHeight="1">
      <c r="A471" s="175" t="s">
        <v>469</v>
      </c>
      <c r="B471" s="216"/>
      <c r="C471" s="181" t="s">
        <v>30</v>
      </c>
      <c r="D471" s="178" t="e">
        <f>#REF!</f>
        <v>#REF!</v>
      </c>
      <c r="E471" s="178">
        <f>E474+E475+E472</f>
        <v>15000</v>
      </c>
      <c r="F471" s="178">
        <f>F474+F475+F472</f>
        <v>0</v>
      </c>
      <c r="G471" s="178">
        <f>G474+G475+G472</f>
        <v>0</v>
      </c>
      <c r="H471" s="178" t="e">
        <f>H474+H475+#REF!</f>
        <v>#REF!</v>
      </c>
      <c r="I471" s="178" t="e">
        <f>I474+I475+#REF!</f>
        <v>#REF!</v>
      </c>
      <c r="J471" s="178" t="e">
        <f>J474+J475+#REF!</f>
        <v>#REF!</v>
      </c>
      <c r="K471" s="178">
        <f>SUM(K474:K475)</f>
        <v>7100</v>
      </c>
      <c r="L471" s="178">
        <f>SUM(L474:L475)</f>
        <v>0</v>
      </c>
      <c r="M471" s="178">
        <f>SUM(M474:M475)</f>
        <v>0</v>
      </c>
      <c r="N471" s="178">
        <f t="shared" si="48"/>
        <v>7100</v>
      </c>
      <c r="O471" s="178">
        <f>SUM(O474:O475)</f>
        <v>0</v>
      </c>
      <c r="P471" s="178">
        <f>SUM(P474:P475)</f>
        <v>7100</v>
      </c>
      <c r="Q471" s="178">
        <f>SUM(Q474:Q475)</f>
        <v>0</v>
      </c>
    </row>
    <row r="472" spans="1:17" s="112" customFormat="1" ht="14.25" customHeight="1" hidden="1">
      <c r="A472" s="174"/>
      <c r="B472" s="171"/>
      <c r="C472" s="42" t="s">
        <v>470</v>
      </c>
      <c r="D472" s="49"/>
      <c r="E472" s="49">
        <v>240</v>
      </c>
      <c r="F472" s="49">
        <v>0</v>
      </c>
      <c r="G472" s="49">
        <v>0</v>
      </c>
      <c r="H472" s="37"/>
      <c r="I472" s="37"/>
      <c r="J472" s="37"/>
      <c r="K472" s="37"/>
      <c r="L472" s="37"/>
      <c r="M472" s="37"/>
      <c r="N472" s="37">
        <f t="shared" si="48"/>
        <v>0</v>
      </c>
      <c r="O472" s="49">
        <v>0</v>
      </c>
      <c r="P472" s="170">
        <f>H472</f>
        <v>0</v>
      </c>
      <c r="Q472" s="170">
        <v>0</v>
      </c>
    </row>
    <row r="473" spans="1:17" s="112" customFormat="1" ht="28.5" customHeight="1" hidden="1">
      <c r="A473" s="174"/>
      <c r="B473" s="171" t="s">
        <v>248</v>
      </c>
      <c r="C473" s="75" t="s">
        <v>471</v>
      </c>
      <c r="D473" s="49"/>
      <c r="E473" s="49"/>
      <c r="F473" s="49"/>
      <c r="G473" s="49"/>
      <c r="H473" s="37">
        <v>0</v>
      </c>
      <c r="I473" s="37">
        <v>0</v>
      </c>
      <c r="J473" s="37">
        <v>0</v>
      </c>
      <c r="K473" s="37"/>
      <c r="L473" s="37"/>
      <c r="M473" s="37"/>
      <c r="N473" s="37">
        <f t="shared" si="48"/>
        <v>0</v>
      </c>
      <c r="O473" s="49">
        <v>0</v>
      </c>
      <c r="P473" s="170">
        <v>0</v>
      </c>
      <c r="Q473" s="170">
        <v>0</v>
      </c>
    </row>
    <row r="474" spans="1:17" s="112" customFormat="1" ht="19.5" customHeight="1">
      <c r="A474" s="174"/>
      <c r="B474" s="171" t="s">
        <v>231</v>
      </c>
      <c r="C474" s="42" t="s">
        <v>263</v>
      </c>
      <c r="D474" s="49"/>
      <c r="E474" s="49">
        <v>10760</v>
      </c>
      <c r="F474" s="49">
        <v>0</v>
      </c>
      <c r="G474" s="49">
        <v>0</v>
      </c>
      <c r="H474" s="37">
        <v>3570</v>
      </c>
      <c r="I474" s="37">
        <v>0</v>
      </c>
      <c r="J474" s="37">
        <v>0</v>
      </c>
      <c r="K474" s="37">
        <v>5300</v>
      </c>
      <c r="L474" s="37"/>
      <c r="M474" s="37"/>
      <c r="N474" s="37">
        <f t="shared" si="48"/>
        <v>5300</v>
      </c>
      <c r="O474" s="49">
        <v>0</v>
      </c>
      <c r="P474" s="170">
        <f>N474</f>
        <v>5300</v>
      </c>
      <c r="Q474" s="170">
        <v>0</v>
      </c>
    </row>
    <row r="475" spans="1:17" s="112" customFormat="1" ht="16.5" customHeight="1">
      <c r="A475" s="174"/>
      <c r="B475" s="171" t="s">
        <v>237</v>
      </c>
      <c r="C475" s="42" t="s">
        <v>238</v>
      </c>
      <c r="D475" s="49"/>
      <c r="E475" s="49">
        <v>4000</v>
      </c>
      <c r="F475" s="49">
        <v>0</v>
      </c>
      <c r="G475" s="49">
        <v>0</v>
      </c>
      <c r="H475" s="37">
        <v>1480</v>
      </c>
      <c r="I475" s="37">
        <v>0</v>
      </c>
      <c r="J475" s="37">
        <v>0</v>
      </c>
      <c r="K475" s="37">
        <v>1800</v>
      </c>
      <c r="L475" s="37"/>
      <c r="M475" s="37"/>
      <c r="N475" s="37">
        <f t="shared" si="48"/>
        <v>1800</v>
      </c>
      <c r="O475" s="49">
        <v>0</v>
      </c>
      <c r="P475" s="170">
        <f>N475</f>
        <v>1800</v>
      </c>
      <c r="Q475" s="170">
        <v>0</v>
      </c>
    </row>
    <row r="476" spans="1:17" s="112" customFormat="1" ht="20.25" customHeight="1">
      <c r="A476" s="182" t="s">
        <v>472</v>
      </c>
      <c r="B476" s="182"/>
      <c r="C476" s="196" t="s">
        <v>473</v>
      </c>
      <c r="D476" s="183" t="e">
        <f>D477+D479</f>
        <v>#REF!</v>
      </c>
      <c r="E476" s="183" t="e">
        <f>E477+E479</f>
        <v>#REF!</v>
      </c>
      <c r="F476" s="183" t="e">
        <f aca="true" t="shared" si="55" ref="F476:K476">F479</f>
        <v>#REF!</v>
      </c>
      <c r="G476" s="183" t="e">
        <f t="shared" si="55"/>
        <v>#REF!</v>
      </c>
      <c r="H476" s="183">
        <f t="shared" si="55"/>
        <v>16000</v>
      </c>
      <c r="I476" s="183">
        <f t="shared" si="55"/>
        <v>0</v>
      </c>
      <c r="J476" s="183">
        <f t="shared" si="55"/>
        <v>0</v>
      </c>
      <c r="K476" s="183">
        <f t="shared" si="55"/>
        <v>16000</v>
      </c>
      <c r="L476" s="183"/>
      <c r="M476" s="183"/>
      <c r="N476" s="183">
        <f aca="true" t="shared" si="56" ref="N476:N481">K476+L476-M476</f>
        <v>16000</v>
      </c>
      <c r="O476" s="183">
        <f>O479</f>
        <v>0</v>
      </c>
      <c r="P476" s="190">
        <f>P479</f>
        <v>16000</v>
      </c>
      <c r="Q476" s="190">
        <f>Q479</f>
        <v>0</v>
      </c>
    </row>
    <row r="477" spans="1:17" s="112" customFormat="1" ht="18" customHeight="1" hidden="1">
      <c r="A477" s="168" t="s">
        <v>474</v>
      </c>
      <c r="B477" s="184"/>
      <c r="C477" s="93" t="s">
        <v>475</v>
      </c>
      <c r="D477" s="81">
        <f>D478</f>
        <v>0</v>
      </c>
      <c r="E477" s="81">
        <f>E478</f>
        <v>0</v>
      </c>
      <c r="F477" s="81"/>
      <c r="G477" s="81"/>
      <c r="H477" s="81"/>
      <c r="I477" s="81"/>
      <c r="J477" s="81"/>
      <c r="K477" s="81"/>
      <c r="L477" s="81"/>
      <c r="M477" s="81"/>
      <c r="N477" s="37">
        <f t="shared" si="56"/>
        <v>0</v>
      </c>
      <c r="O477" s="81"/>
      <c r="P477" s="169"/>
      <c r="Q477" s="169"/>
    </row>
    <row r="478" spans="1:17" s="112" customFormat="1" ht="14.25" customHeight="1" hidden="1">
      <c r="A478" s="171"/>
      <c r="B478" s="184" t="s">
        <v>268</v>
      </c>
      <c r="C478" s="75" t="s">
        <v>476</v>
      </c>
      <c r="D478" s="37">
        <v>0</v>
      </c>
      <c r="E478" s="37">
        <v>0</v>
      </c>
      <c r="F478" s="37"/>
      <c r="G478" s="37"/>
      <c r="H478" s="37"/>
      <c r="I478" s="37"/>
      <c r="J478" s="37"/>
      <c r="K478" s="37"/>
      <c r="L478" s="37"/>
      <c r="M478" s="37"/>
      <c r="N478" s="37">
        <f t="shared" si="56"/>
        <v>0</v>
      </c>
      <c r="O478" s="37"/>
      <c r="P478" s="172"/>
      <c r="Q478" s="172"/>
    </row>
    <row r="479" spans="1:17" s="112" customFormat="1" ht="25.5" customHeight="1">
      <c r="A479" s="175" t="s">
        <v>477</v>
      </c>
      <c r="B479" s="186"/>
      <c r="C479" s="181" t="s">
        <v>30</v>
      </c>
      <c r="D479" s="178" t="e">
        <f>#REF!</f>
        <v>#REF!</v>
      </c>
      <c r="E479" s="178" t="e">
        <f>#REF!+E480</f>
        <v>#REF!</v>
      </c>
      <c r="F479" s="178" t="e">
        <f>#REF!+F480</f>
        <v>#REF!</v>
      </c>
      <c r="G479" s="178" t="e">
        <f>#REF!+G480</f>
        <v>#REF!</v>
      </c>
      <c r="H479" s="178">
        <f>H480</f>
        <v>16000</v>
      </c>
      <c r="I479" s="178">
        <f>I480</f>
        <v>0</v>
      </c>
      <c r="J479" s="178">
        <f>J480</f>
        <v>0</v>
      </c>
      <c r="K479" s="178">
        <f>K480</f>
        <v>16000</v>
      </c>
      <c r="L479" s="178"/>
      <c r="M479" s="178"/>
      <c r="N479" s="178">
        <f t="shared" si="56"/>
        <v>16000</v>
      </c>
      <c r="O479" s="178">
        <f>O480</f>
        <v>0</v>
      </c>
      <c r="P479" s="178">
        <f>P480</f>
        <v>16000</v>
      </c>
      <c r="Q479" s="178">
        <f>Q480</f>
        <v>0</v>
      </c>
    </row>
    <row r="480" spans="1:17" s="112" customFormat="1" ht="38.25" customHeight="1">
      <c r="A480" s="174"/>
      <c r="B480" s="116" t="s">
        <v>478</v>
      </c>
      <c r="C480" s="42" t="s">
        <v>479</v>
      </c>
      <c r="D480" s="49"/>
      <c r="E480" s="49">
        <v>14200</v>
      </c>
      <c r="F480" s="49">
        <v>0</v>
      </c>
      <c r="G480" s="49">
        <v>0</v>
      </c>
      <c r="H480" s="49">
        <v>16000</v>
      </c>
      <c r="I480" s="49">
        <v>0</v>
      </c>
      <c r="J480" s="49">
        <v>0</v>
      </c>
      <c r="K480" s="37">
        <v>16000</v>
      </c>
      <c r="L480" s="37"/>
      <c r="M480" s="49"/>
      <c r="N480" s="37">
        <f t="shared" si="56"/>
        <v>16000</v>
      </c>
      <c r="O480" s="49">
        <v>0</v>
      </c>
      <c r="P480" s="170">
        <f>N480</f>
        <v>16000</v>
      </c>
      <c r="Q480" s="170">
        <v>0</v>
      </c>
    </row>
    <row r="481" spans="1:17" s="112" customFormat="1" ht="24" customHeight="1">
      <c r="A481" s="219"/>
      <c r="B481" s="220"/>
      <c r="C481" s="221" t="s">
        <v>480</v>
      </c>
      <c r="D481" s="222" t="e">
        <f>D9+D31+D37+D59+D69+D86+D145+D171+D177+D181+D296+D310+D404+D467+D476</f>
        <v>#REF!</v>
      </c>
      <c r="E481" s="222" t="e">
        <f>E9+E31+E37+E59+E69+E86+E145+E171+E177+E181+E296+E310+E404+E467+E476</f>
        <v>#REF!</v>
      </c>
      <c r="F481" s="222" t="e">
        <f>F476+F467+F404+F310+F296+F181+F177+F171+F145+F86+F69+F59+F37+F31+F9</f>
        <v>#REF!</v>
      </c>
      <c r="G481" s="222" t="e">
        <f>G476+G467+G404+G310+G296+G181+G177+G171+G145+G86+G69+G59+G37+G31+G9</f>
        <v>#REF!</v>
      </c>
      <c r="H481" s="222" t="e">
        <f>H476+H467+H404+H310+H296+H181+H177+H171+H145+#REF!+H86+H69+H59+H37+H31+H9+#REF!</f>
        <v>#REF!</v>
      </c>
      <c r="I481" s="222" t="e">
        <f>I476+I467+I404+I310+I296+I181+I177+I171+I145+#REF!+I86+I69+I59+I37+I31+I9+#REF!</f>
        <v>#REF!</v>
      </c>
      <c r="J481" s="222" t="e">
        <f>J476+J467+J404+J310+J296+J181+J177+J171+J145+#REF!+J86+J69+J59+J37+J31+J9+#REF!</f>
        <v>#REF!</v>
      </c>
      <c r="K481" s="222">
        <f>K9+K31+K37+K59+K69+K86+K145+K171+K177+K181+K286+K296+K310+K382+K404+K467+K476</f>
        <v>32608275</v>
      </c>
      <c r="L481" s="222">
        <f>L9+L31+L37+L59+L69+L86+L145+L171+L177+L181+L286+L296+L310+L382+L404+L467+L476</f>
        <v>355766</v>
      </c>
      <c r="M481" s="222">
        <f>M9+M31+M37+M59+M69+M86+M145+M171+M177+M181+M286+M296+M310+M382+M404+M467+M476</f>
        <v>293239</v>
      </c>
      <c r="N481" s="222">
        <f t="shared" si="56"/>
        <v>32670802</v>
      </c>
      <c r="O481" s="222">
        <f>O9+O31+O37+O59+O69+O86+O145+O171+O177+O181+O286+O296+O310+O382+O404+O467+O476</f>
        <v>3206295</v>
      </c>
      <c r="P481" s="222">
        <f>P9+P31+P37+P59+P69+P86+P145+P171+P177+P181+P286+P296+P310+P382+P404+P467+P476</f>
        <v>29021197</v>
      </c>
      <c r="Q481" s="222">
        <f>Q9+Q31+Q37+Q59+Q69+Q86+Q145+Q171+Q177+Q181+Q286+Q296+Q310+Q382+Q404+Q467+Q476</f>
        <v>443310</v>
      </c>
    </row>
    <row r="482" spans="1:17" s="112" customFormat="1" ht="17.25" customHeight="1">
      <c r="A482" s="37"/>
      <c r="B482" s="533" t="s">
        <v>481</v>
      </c>
      <c r="C482" s="533"/>
      <c r="D482" s="223" t="s">
        <v>482</v>
      </c>
      <c r="E482" s="223" t="s">
        <v>482</v>
      </c>
      <c r="F482" s="223" t="s">
        <v>482</v>
      </c>
      <c r="G482" s="223" t="s">
        <v>482</v>
      </c>
      <c r="H482" s="223"/>
      <c r="I482" s="223"/>
      <c r="J482" s="223"/>
      <c r="K482" s="223"/>
      <c r="L482" s="223"/>
      <c r="M482" s="223"/>
      <c r="N482" s="37"/>
      <c r="O482" s="223"/>
      <c r="P482" s="223"/>
      <c r="Q482" s="223"/>
    </row>
    <row r="483" spans="1:17" s="112" customFormat="1" ht="20.25" customHeight="1">
      <c r="A483" s="224"/>
      <c r="B483" s="538" t="s">
        <v>483</v>
      </c>
      <c r="C483" s="539"/>
      <c r="D483" s="539"/>
      <c r="E483" s="225" t="e">
        <f aca="true" t="shared" si="57" ref="E483:M483">E481-E488</f>
        <v>#REF!</v>
      </c>
      <c r="F483" s="225" t="e">
        <f t="shared" si="57"/>
        <v>#REF!</v>
      </c>
      <c r="G483" s="225" t="e">
        <f t="shared" si="57"/>
        <v>#REF!</v>
      </c>
      <c r="H483" s="225" t="e">
        <f t="shared" si="57"/>
        <v>#REF!</v>
      </c>
      <c r="I483" s="225" t="e">
        <f t="shared" si="57"/>
        <v>#REF!</v>
      </c>
      <c r="J483" s="225" t="e">
        <f t="shared" si="57"/>
        <v>#REF!</v>
      </c>
      <c r="K483" s="225">
        <f t="shared" si="57"/>
        <v>25767865</v>
      </c>
      <c r="L483" s="225">
        <f t="shared" si="57"/>
        <v>320494</v>
      </c>
      <c r="M483" s="225">
        <f t="shared" si="57"/>
        <v>293239</v>
      </c>
      <c r="N483" s="226">
        <f aca="true" t="shared" si="58" ref="N483:N490">K483+L483-M483</f>
        <v>25795120</v>
      </c>
      <c r="O483" s="225">
        <f>O481-O488</f>
        <v>3206295</v>
      </c>
      <c r="P483" s="225">
        <f>P481-P488</f>
        <v>22187515</v>
      </c>
      <c r="Q483" s="225">
        <f>Q481-Q488</f>
        <v>401310</v>
      </c>
    </row>
    <row r="484" spans="1:17" s="112" customFormat="1" ht="20.25" customHeight="1">
      <c r="A484" s="224"/>
      <c r="B484" s="545" t="s">
        <v>484</v>
      </c>
      <c r="C484" s="546"/>
      <c r="D484" s="546"/>
      <c r="E484" s="37" t="e">
        <f>E13+E15+E41+E42+E75+E77+E88+E89+E108+E109+#REF!+#REF!+#REF!+#REF!+#REF!+#REF!+E184+E185+E199+E200+E211+E212+#REF!+#REF!+E240+E241+#REF!+#REF!+E264+E265+#REF!+#REF!+E314+E315+E330+E331+E351+E352+E384+E392+E393+E407+E408+E422+E423+E437+E438+E14+E148+E149+E150+E151+E152+#REF!+#REF!+#REF!</f>
        <v>#REF!</v>
      </c>
      <c r="F484" s="37" t="e">
        <f>F13+F15+F41+F42+F75+F77+F88+F89+F108+F109+#REF!+#REF!+#REF!+#REF!+#REF!+#REF!+F184+F185+F199+F200+F211+F212+#REF!+#REF!+F240+F241+#REF!+#REF!+F264+F265+#REF!+#REF!+F314+F315+F330+F331+F351+F352+F384+F392+F393+F407+F408+F422+F423+F437+F438+F14+F148+F149+F150+F151+F152+#REF!+#REF!+#REF!</f>
        <v>#REF!</v>
      </c>
      <c r="G484" s="37" t="e">
        <f>G13+G15+G41+G42+G75+G77+G88+G89+G108+G109+#REF!+#REF!+#REF!+#REF!+#REF!+#REF!+G184+G185+G199+G200+G211+G212+#REF!+#REF!+G240+G241+#REF!+#REF!+G264+G265+#REF!+#REF!+G314+G315+G330+G331+G351+G352+G384+G392+G393+G407+G408+G422+G423+G437+G438+G14+G148+G149+G150+G151+G152+#REF!+#REF!+#REF!</f>
        <v>#REF!</v>
      </c>
      <c r="H484" s="37" t="e">
        <f>H13+H14+H15+H41+H42+H75+H76+H77+H88+H89+H108+H109+#REF!+#REF!+#REF!+#REF!+#REF!+#REF!+#REF!+H148+H149+H150+H151+H152+#REF!++H184+H185+H199+H200+H211+H212+H240+H241+#REF!+H264+H265+H314+H315+H330+H331+H351+H352+H384+H385+#REF!+#REF!+H392+H393+H407+H408+H422+H423+H437+H438+H279+H230</f>
        <v>#REF!</v>
      </c>
      <c r="I484" s="37" t="e">
        <f>I13+I14+I15+I41+I42+I75+I76+I77+I88+I89+I108+I109+#REF!+#REF!+#REF!+#REF!+#REF!+#REF!+#REF!+I148+I149+I150+I151+I152+#REF!++I184+I185+I199+I200+I211+I212+I240+I241+#REF!+I264+I265+I314+I315+I330+I331+I351+I352+I384+I385+#REF!+#REF!+I392+I393+I407+I408+I422+I423+I437+I438+I279+I230</f>
        <v>#REF!</v>
      </c>
      <c r="J484" s="37" t="e">
        <f>J13+J14+J15+J41+J42+J75+J76+J77+J88+J89+J108+J109+#REF!+#REF!+#REF!+#REF!+#REF!+#REF!+#REF!+J148+J149+J150+J151+J152+#REF!++J184+J185+J199+J200+J211+J212+J240+J241+#REF!+J264+J265+J314+J315+J330+J331+J351+J352+J384+J385+#REF!+#REF!+J392+J393+J407+J408+J422+J423+J437+J438+J279+J230</f>
        <v>#REF!</v>
      </c>
      <c r="K484" s="37">
        <f>K41+K42+K45+K61+K75+K76+K77+K88+K89+K92+K108+K109+K112+K131+K137+K141+K148+K149+K150+K151+K152+K184+K185+K188+K199+K200+K211+K212+K217+K230+K231+K240+K241+K245+K264+K265+K274+K279+K282+K290+K291+K303+K314+K315+K318+K330+K331+K351+K352+K355+K364+K384+K385+K392+K393+K396+K407+K408+K422+K423+K426+K437+K438+K441+K454+K455+K462</f>
        <v>13481630</v>
      </c>
      <c r="L484" s="37">
        <f>L41+L42+L45+L61+L75+L76+L77+L88+L89+L92+L108+L109+L112+L131+L137+L141+L148+L149+L150+L151+L152+L184+L185+L188+L199+L200+L211+L212+L217+L230+L231+L240+L241+L245+L264+L265+L274+L279+L282+L290+L291+L303+L314+L315+L318+L330+L331+L351+L352+L355+L364+L384+L385+L392+L393+L396+L407+L408+L422+L423+L426+L437+L438+L441+L454+L455+L462</f>
        <v>53827</v>
      </c>
      <c r="M484" s="37">
        <f>M41+M42+M45+M61+M75+M76+M77+M88+M89+M92+M108+M109+M112+M131+M137+M141+M148+M149+M150+M151+M152+M184+M185+M188+M199+M200+M211+M212+M217+M230+M231+M240+M241+M245+M264+M265+M274+M279+M282+M290+M291+M303+M314+M315+M318+M330+M331+M351+M352+M355+M364+M384+M385+M392+M393+M396+M407+M408+M422+M423+M426+M437+M438+M441+M454+M455+M462</f>
        <v>114599</v>
      </c>
      <c r="N484" s="37">
        <f t="shared" si="58"/>
        <v>13420858</v>
      </c>
      <c r="O484" s="37">
        <f>O61+O75+O76+O77+O88+O89+O92+O131+O148+O149+O150+O151+O152</f>
        <v>1898586</v>
      </c>
      <c r="P484" s="37">
        <f>P41+P42+P45+P108+P109+P112+P137+P141+P184+P185+P188+P199+P200+P211+P212+P217+P230+P231+P240+P241+P245+P264+P265+P274+P279+P282+P290+P291+P303+P314+P315+P318+P330+P331+P351+P352+P355+P364+P384+P385+P392+P393+P396+P407+P408+P422+P423+P426+P437+P438+P441+P454+P455+P462</f>
        <v>11522272</v>
      </c>
      <c r="Q484" s="37">
        <f>Q41+Q42+Q45+Q75+Q76+Q77+Q88+Q89+Q92+Q108+Q109+Q111+Q131+Q137+Q141+Q148+Q149+Q150+Q151+Q152+Q184+Q185+Q188+Q199+Q200+Q211+Q212+Q217+Q230+Q231+Q240+Q241+Q245+Q264+Q265+Q274+Q279+Q282+Q290+Q291+Q303+Q314+Q315+Q330+Q331+Q351+Q352+Q355+Q364+Q384+Q385+Q392+Q393+Q396+Q407+Q408+Q422+Q423+Q426+Q437+Q438+Q441+Q454+Q455+Q462</f>
        <v>0</v>
      </c>
    </row>
    <row r="485" spans="1:17" s="112" customFormat="1" ht="18.75" customHeight="1">
      <c r="A485" s="224"/>
      <c r="B485" s="545" t="s">
        <v>485</v>
      </c>
      <c r="C485" s="546"/>
      <c r="D485" s="546"/>
      <c r="E485" s="37" t="e">
        <f>E16+E17+E43+E44+E78+E79+E90+E91+E110+E112+E129+E130+#REF!+#REF!+E153+E154+E186+E187+E201+E202+E213+E214+E242+E243+#REF!+#REF!+#REF!+#REF!+E266+E267+#REF!+#REF!+E316+E317+E332+E333+E353+E354+E386+E387+E394+E395+E409+E410+E424+E425+E439+E440+E275+#REF!+#REF!+#REF!+#REF!+#REF!</f>
        <v>#REF!</v>
      </c>
      <c r="F485" s="37" t="e">
        <f>F16+F17+F43+F44+F78+F79+F90+F91+F110+F112+F129+F130+#REF!+#REF!+F153+F154+F186+F187+F201+F202+F213+F214+F242+F243+#REF!+#REF!+#REF!+#REF!+F266+F267+#REF!+#REF!+F316+F317+F332+F333+F353+F354+F386+F387+F394+F395+F409+F410+F424+F425+F439+F440+F275+#REF!+#REF!+#REF!+#REF!+#REF!</f>
        <v>#REF!</v>
      </c>
      <c r="G485" s="37" t="e">
        <f>G16+G17+G43+G44+G78+G79+G90+G91+G110+G112+G129+G130+#REF!+#REF!+G153+G154+G186+G187+G201+G202+G213+G214+G242+G243+#REF!+#REF!+#REF!+#REF!+G266+G267+#REF!+#REF!+G316+G317+G332+G333+G353+G354+G386+G387+G394+G395+G409+G410+G424+G425+G439+G440+G275+#REF!+#REF!+#REF!+#REF!+#REF!</f>
        <v>#REF!</v>
      </c>
      <c r="H485" s="37" t="e">
        <f>H16+H17+H43+H44+H78+H79+H90+H91+H110+H112+H129+H130+#REF!+#REF!+H153+H154+H186+H187+H201+H202+H213+H214+H242+H243+#REF!+#REF!+H266+H267+H316+H317+H332+H333+H353+H354+H386+H387+#REF!+#REF!+H394+H395+H409+H410+H424+H425+H439+H440+#REF!+#REF!+H280+H281+H232+H233</f>
        <v>#REF!</v>
      </c>
      <c r="I485" s="37" t="e">
        <f>I16+I17+I43+I44+I78+I79+I90+I91+I110+I112+I129+I130+#REF!+#REF!+I153+I154+I186+I187+I201+I202+I213+I214+I242+I243+#REF!+#REF!+I266+I267+I316+I317+I332+I333+I353+I354+I386+I387+#REF!+#REF!+I394+I395+I409+I410+I424+I425+I439+I440+#REF!+#REF!+I280+I281+I232+I233</f>
        <v>#REF!</v>
      </c>
      <c r="J485" s="37" t="e">
        <f>J16+J17+J43+J44+J78+J79+J90+J91+J110+J112+J129+J130+#REF!+#REF!+J153+J154+J186+J187+J201+J202+J213+J214+J242+J243+#REF!+#REF!+J266+J267+J316+J317+J332+J333+J353+J354+J386+J387+#REF!+#REF!+J394+J395+J409+J410+J424+J425+J439+J440+#REF!+#REF!+J280+J281+J232+J233</f>
        <v>#REF!</v>
      </c>
      <c r="K485" s="37">
        <f>K43+K44+K78+K79+K90+K91+K110+K111+K129+K130+K153+K154+K186+K187+K201+K202+K213+K214+K232+K233+K242+K243+K266+K267+K280+K281+K304+K305+K316+K317+K332+K333+K353+K354+K365+K366+K386+K387+K394+K395+K409+K410+K424+K425+K439+K440</f>
        <v>2219630</v>
      </c>
      <c r="L485" s="37">
        <f>L43+L44+L78+L79+L90+L91+L110+L112+L129+L130+L153+L154+L186+L187+L201+L202+L213+L214+L232+L233+L242+L243+L266+L267+L280+L281+L304+L305+L316+L317+L332+L333+L353+L354+L365+L366+L386+L387+L394+L395+L409+L410+L424+L425+L439+L440</f>
        <v>10978</v>
      </c>
      <c r="M485" s="37">
        <f>M43+M44+M78+M79+M90+M91+M110+M112+M129+M130+M153+M154+M186+M187+M201+M202+M213+M214+M232+M233+M242+M243+M266+M267+M280+M281+M304+M305+M316+M317+M332+M333+M353+M354+M365+M366+M386+M387+M394+M395+M409+M410+M424+M425+M439+M440</f>
        <v>3828</v>
      </c>
      <c r="N485" s="37">
        <f t="shared" si="58"/>
        <v>2226780</v>
      </c>
      <c r="O485" s="37">
        <f>O78+O79+O90+O91+O129+O130+O153+O154</f>
        <v>54941</v>
      </c>
      <c r="P485" s="37">
        <f>P43+P44+P110+P111+P186+P187+P201+P202+P213+P214+P232+P233+P242+P243+P266+P267+P280+P281+P304+P305+P316+P317+P332+P333+P353+P354+P365+P366+P386+P387+P394+P395+P409+P410+P424+P425+P439+P440</f>
        <v>2171839</v>
      </c>
      <c r="Q485" s="37">
        <f>Q43+Q44+Q78+Q79+Q90+Q91+Q110+Q112+Q129+Q130+Q153+Q154+Q186+Q187+Q201+Q202+Q213+Q214+Q232+Q233+Q242+Q243+Q266+Q267+Q280+Q281+Q304+Q305+Q316+Q317+Q332+Q333+Q353+Q354+Q365+Q366+Q386+Q387+Q394+Q395+Q409+Q410+Q424+Q425+Q439+Q440</f>
        <v>0</v>
      </c>
    </row>
    <row r="486" spans="1:17" s="112" customFormat="1" ht="25.5" customHeight="1">
      <c r="A486" s="224"/>
      <c r="B486" s="547" t="s">
        <v>486</v>
      </c>
      <c r="C486" s="544"/>
      <c r="D486" s="544"/>
      <c r="E486" s="37" t="e">
        <f>E122+E226+E260+#REF!+#REF!+#REF!+E277+E461+E469+#REF!+#REF!+#REF!+#REF!+#REF!+E298</f>
        <v>#REF!</v>
      </c>
      <c r="F486" s="37" t="e">
        <f>F122+F226+F260+#REF!+#REF!+#REF!+#REF!+F461+F469+F276+#REF!+#REF!+#REF!+#REF!+#REF!+F298</f>
        <v>#REF!</v>
      </c>
      <c r="G486" s="37" t="e">
        <f>G122+G226+G260+#REF!+#REF!+#REF!+#REF!+G461+G469+G276+#REF!+#REF!+#REF!+#REF!+#REF!+G298</f>
        <v>#REF!</v>
      </c>
      <c r="H486" s="37" t="e">
        <f>H195+H208+H226+H260+#REF!+H277+#REF!+#REF!+#REF!+H461+H469+H480+H94+#REF!+H473+#REF!+H196+#REF!+#REF!+H39+H298+#REF!+H30+#REF!</f>
        <v>#REF!</v>
      </c>
      <c r="I486" s="37" t="e">
        <f>I195+I208+I226+I260+#REF!+I277+#REF!+#REF!+#REF!+I461+I469+I480+I94+#REF!+I473+#REF!+I196+#REF!+#REF!+I39+I298+#REF!+I30+#REF!</f>
        <v>#REF!</v>
      </c>
      <c r="J486" s="37" t="e">
        <f>J195+J208+J226+J260+#REF!+J277+#REF!+#REF!+#REF!+J461+J469+J480+J94+#REF!+J473+#REF!+J196+#REF!+#REF!+J39+J298+#REF!+J30+#REF!</f>
        <v>#REF!</v>
      </c>
      <c r="K486" s="109">
        <f>K30+K39+K98+K124+K136+K195+K197+K208+K226+K260+K272+K277+K298+K328+K346+K347+K461+K469+K480</f>
        <v>1770016</v>
      </c>
      <c r="L486" s="109">
        <f>L30+L39+L98+L124+L136+L195+L197+L208+L226+L260+L272+L277+L298+L328+L346+L347+L461+L469+L480</f>
        <v>38259</v>
      </c>
      <c r="M486" s="109">
        <f>M30+M39+M98+M124+M136+M195+M197+M208+M226+M260+M272+M277+M298+M328+M346+M347+M461+M469+M480</f>
        <v>58501</v>
      </c>
      <c r="N486" s="37">
        <f t="shared" si="58"/>
        <v>1749774</v>
      </c>
      <c r="O486" s="109">
        <f>O30+O39+O98+O124+O136+O195+O197+O208+O226+O260+O277+O298+O328+O346+O347+O461+O469+O480</f>
        <v>0</v>
      </c>
      <c r="P486" s="109">
        <f>P30+P39+P98+P124+P136+P195+P197+P208+P226+P260+P272+P298+P328+P346+P347+P461+P469+P480</f>
        <v>1348464</v>
      </c>
      <c r="Q486" s="109">
        <f>Q30+Q39+Q98+Q124+Q195+Q197+Q208+Q226+Q260+Q277+Q298+Q328+Q346+Q347+Q384+Q461+Q469+Q480</f>
        <v>401310</v>
      </c>
    </row>
    <row r="487" spans="1:17" s="112" customFormat="1" ht="15.75" customHeight="1">
      <c r="A487" s="224"/>
      <c r="B487" s="547" t="s">
        <v>487</v>
      </c>
      <c r="C487" s="544"/>
      <c r="D487" s="544"/>
      <c r="E487" s="37" t="e">
        <f aca="true" t="shared" si="59" ref="E487:M487">E171</f>
        <v>#REF!</v>
      </c>
      <c r="F487" s="37" t="e">
        <f t="shared" si="59"/>
        <v>#REF!</v>
      </c>
      <c r="G487" s="37" t="e">
        <f t="shared" si="59"/>
        <v>#REF!</v>
      </c>
      <c r="H487" s="37" t="e">
        <f t="shared" si="59"/>
        <v>#REF!</v>
      </c>
      <c r="I487" s="37" t="e">
        <f t="shared" si="59"/>
        <v>#REF!</v>
      </c>
      <c r="J487" s="37" t="e">
        <f t="shared" si="59"/>
        <v>#REF!</v>
      </c>
      <c r="K487" s="37">
        <f t="shared" si="59"/>
        <v>780893</v>
      </c>
      <c r="L487" s="37">
        <f t="shared" si="59"/>
        <v>0</v>
      </c>
      <c r="M487" s="37">
        <f t="shared" si="59"/>
        <v>0</v>
      </c>
      <c r="N487" s="37">
        <f t="shared" si="58"/>
        <v>780893</v>
      </c>
      <c r="O487" s="37">
        <f>O171</f>
        <v>0</v>
      </c>
      <c r="P487" s="37">
        <f>P171</f>
        <v>780893</v>
      </c>
      <c r="Q487" s="37">
        <f>Q171</f>
        <v>0</v>
      </c>
    </row>
    <row r="488" spans="1:17" s="112" customFormat="1" ht="15.75" customHeight="1">
      <c r="A488" s="224"/>
      <c r="B488" s="540" t="s">
        <v>488</v>
      </c>
      <c r="C488" s="541"/>
      <c r="D488" s="541"/>
      <c r="E488" s="226" t="e">
        <f>E55+E56+#REF!+#REF!+#REF!+#REF!+#REF!+#REF!+#REF!+#REF!+#REF!+E259+#REF!</f>
        <v>#REF!</v>
      </c>
      <c r="F488" s="226" t="e">
        <f>F55+F56+#REF!+#REF!+#REF!+#REF!+#REF!+#REF!+#REF!+#REF!+#REF!+F259+#REF!</f>
        <v>#REF!</v>
      </c>
      <c r="G488" s="226" t="e">
        <f>G55+G56+#REF!+#REF!+#REF!+#REF!+#REF!+#REF!+#REF!+#REF!+G259+#REF!</f>
        <v>#REF!</v>
      </c>
      <c r="H488" s="226" t="e">
        <f>H55+#REF!+#REF!+#REF!+#REF!+#REF!+#REF!+H259+#REF!+#REF!+#REF!+#REF!+H301+H344+#REF!</f>
        <v>#REF!</v>
      </c>
      <c r="I488" s="226" t="e">
        <f>I55+#REF!+#REF!+#REF!+#REF!+#REF!+#REF!+I259+#REF!+#REF!+#REF!+#REF!+I301+I344+#REF!</f>
        <v>#REF!</v>
      </c>
      <c r="J488" s="226" t="e">
        <f>J55+#REF!+#REF!+#REF!+#REF!+#REF!+#REF!+J259+#REF!+#REF!+#REF!+#REF!+J301+J344+#REF!</f>
        <v>#REF!</v>
      </c>
      <c r="K488" s="226">
        <f>K489+K490</f>
        <v>6840410</v>
      </c>
      <c r="L488" s="226">
        <f>L489+L490</f>
        <v>35272</v>
      </c>
      <c r="M488" s="226">
        <f>M489+M490</f>
        <v>0</v>
      </c>
      <c r="N488" s="226">
        <f t="shared" si="58"/>
        <v>6875682</v>
      </c>
      <c r="O488" s="226">
        <f>O489+O490</f>
        <v>0</v>
      </c>
      <c r="P488" s="226">
        <f>P489+P490</f>
        <v>6833682</v>
      </c>
      <c r="Q488" s="226">
        <f>Q489+Q490</f>
        <v>42000</v>
      </c>
    </row>
    <row r="489" spans="1:17" s="112" customFormat="1" ht="15.75" customHeight="1">
      <c r="A489" s="224"/>
      <c r="B489" s="542" t="s">
        <v>489</v>
      </c>
      <c r="C489" s="543"/>
      <c r="D489" s="227"/>
      <c r="E489" s="37"/>
      <c r="F489" s="37"/>
      <c r="G489" s="37"/>
      <c r="H489" s="37"/>
      <c r="I489" s="43"/>
      <c r="J489" s="37"/>
      <c r="K489" s="37">
        <f>+K125</f>
        <v>42000</v>
      </c>
      <c r="L489" s="37">
        <f>+L125</f>
        <v>0</v>
      </c>
      <c r="M489" s="37">
        <f>+M125</f>
        <v>0</v>
      </c>
      <c r="N489" s="37">
        <f t="shared" si="58"/>
        <v>42000</v>
      </c>
      <c r="O489" s="37">
        <f>+O125</f>
        <v>0</v>
      </c>
      <c r="P489" s="37">
        <f>+P125</f>
        <v>0</v>
      </c>
      <c r="Q489" s="37">
        <f>+Q125</f>
        <v>42000</v>
      </c>
    </row>
    <row r="490" spans="1:17" s="112" customFormat="1" ht="17.25" customHeight="1">
      <c r="A490" s="149"/>
      <c r="B490" s="544" t="s">
        <v>490</v>
      </c>
      <c r="C490" s="544"/>
      <c r="D490" s="544"/>
      <c r="E490" s="37" t="e">
        <f>E55+E56+#REF!+#REF!+#REF!+#REF!+#REF!+#REF!+#REF!+#REF!+#REF!+E259+#REF!</f>
        <v>#REF!</v>
      </c>
      <c r="F490" s="37" t="e">
        <f>F55+F56+#REF!+#REF!+#REF!+#REF!+#REF!+#REF!+#REF!+#REF!+#REF!+F259+#REF!</f>
        <v>#REF!</v>
      </c>
      <c r="G490" s="37" t="e">
        <f>G55+G56+#REF!+#REF!+#REF!+#REF!+#REF!+#REF!+#REF!+#REF!+#REF!+G259+#REF!</f>
        <v>#REF!</v>
      </c>
      <c r="H490" s="37" t="e">
        <f>H488</f>
        <v>#REF!</v>
      </c>
      <c r="I490" s="43" t="e">
        <f>I488</f>
        <v>#REF!</v>
      </c>
      <c r="J490" s="37" t="e">
        <f>J488</f>
        <v>#REF!</v>
      </c>
      <c r="K490" s="37">
        <f>K55+K56+K57+K58+K126+K167+K207+K259+K299+K300+K301+K344+K403+K419+K448+K449+K470</f>
        <v>6798410</v>
      </c>
      <c r="L490" s="37">
        <f>L55+L56+L57+L58+L126+L167+L207+L259+L299+L300+L301+L344+L403+L419+L448+L449+L470</f>
        <v>35272</v>
      </c>
      <c r="M490" s="37">
        <f>M55+M56+M57+M58+M126+M167+M207+M259+M299+M300+M301+M344+M403+M419+M448+M449+M470</f>
        <v>0</v>
      </c>
      <c r="N490" s="37">
        <f t="shared" si="58"/>
        <v>6833682</v>
      </c>
      <c r="O490" s="37">
        <f>O55+O56+O57+O58+O126+O207+O259+O299+O300+O301+O344+O403+O448+O449+O470</f>
        <v>0</v>
      </c>
      <c r="P490" s="37">
        <f>P55+P56+P57+P58+P126+P167+P207+P259+P299+P300+P301+P344+P403+P419+P448+P449+P470</f>
        <v>6833682</v>
      </c>
      <c r="Q490" s="37">
        <f>Q55+Q56+Q57+Q58+Q126+Q207+Q259+Q299+Q300+Q301+Q344+Q403+Q448+Q449+Q470</f>
        <v>0</v>
      </c>
    </row>
    <row r="491" spans="1:17" s="112" customFormat="1" ht="14.25" customHeight="1">
      <c r="A491" s="515"/>
      <c r="B491" s="515"/>
      <c r="C491" s="515"/>
      <c r="D491" s="32"/>
      <c r="E491" s="32"/>
      <c r="F491" s="32"/>
      <c r="G491" s="32"/>
      <c r="H491" s="32"/>
      <c r="I491" s="32" t="s">
        <v>491</v>
      </c>
      <c r="J491" t="s">
        <v>197</v>
      </c>
      <c r="K491"/>
      <c r="L491"/>
      <c r="M491"/>
      <c r="N491"/>
      <c r="O491" s="32" t="s">
        <v>492</v>
      </c>
      <c r="P491" s="32"/>
      <c r="Q491" s="230"/>
    </row>
    <row r="492" spans="1:17" s="112" customFormat="1" ht="15.75" customHeight="1">
      <c r="A492" s="516"/>
      <c r="B492" s="516"/>
      <c r="C492" s="516"/>
      <c r="D492"/>
      <c r="E492"/>
      <c r="F492"/>
      <c r="G492"/>
      <c r="H492"/>
      <c r="I492" t="s">
        <v>493</v>
      </c>
      <c r="J492" s="32"/>
      <c r="K492" s="32"/>
      <c r="L492" s="32"/>
      <c r="M492" s="32"/>
      <c r="N492"/>
      <c r="O492"/>
      <c r="P492"/>
      <c r="Q492"/>
    </row>
    <row r="493" spans="1:17" s="112" customFormat="1" ht="12.75">
      <c r="A493"/>
      <c r="B493"/>
      <c r="C493"/>
      <c r="D493"/>
      <c r="E493" s="231"/>
      <c r="F493" s="231"/>
      <c r="G493" s="231"/>
      <c r="H493" s="231"/>
      <c r="I493" s="231"/>
      <c r="J493" s="32"/>
      <c r="K493" s="32"/>
      <c r="L493" s="32"/>
      <c r="M493" s="32"/>
      <c r="N493" s="231"/>
      <c r="O493"/>
      <c r="P493" s="415" t="s">
        <v>494</v>
      </c>
      <c r="Q493" s="415"/>
    </row>
    <row r="494" spans="1:17" s="112" customFormat="1" ht="12.75">
      <c r="A494"/>
      <c r="B494"/>
      <c r="C494"/>
      <c r="D494"/>
      <c r="E494"/>
      <c r="F494"/>
      <c r="G494"/>
      <c r="H494"/>
      <c r="I494"/>
      <c r="J494" s="32"/>
      <c r="K494" s="32"/>
      <c r="L494" s="32"/>
      <c r="M494" s="32"/>
      <c r="N494"/>
      <c r="O494"/>
      <c r="P494"/>
      <c r="Q494"/>
    </row>
    <row r="495" spans="1:17" s="112" customFormat="1" ht="12.75">
      <c r="A495"/>
      <c r="B495"/>
      <c r="C495"/>
      <c r="D495"/>
      <c r="E495"/>
      <c r="F495"/>
      <c r="G495"/>
      <c r="H495"/>
      <c r="I495"/>
      <c r="J495" s="32"/>
      <c r="K495" s="32"/>
      <c r="L495" s="32"/>
      <c r="M495" s="32"/>
      <c r="N495"/>
      <c r="O495"/>
      <c r="P495" s="415" t="s">
        <v>495</v>
      </c>
      <c r="Q495" s="415"/>
    </row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="112" customFormat="1" ht="12.75"/>
    <row r="1053" s="112" customFormat="1" ht="12.75"/>
    <row r="1054" s="112" customFormat="1" ht="12.75"/>
    <row r="1055" s="112" customFormat="1" ht="12.75"/>
    <row r="1056" s="112" customFormat="1" ht="12.75"/>
    <row r="1057" s="112" customFormat="1" ht="12.75"/>
    <row r="1058" s="112" customFormat="1" ht="12.75"/>
    <row r="1059" s="112" customFormat="1" ht="12.75"/>
    <row r="1060" s="112" customFormat="1" ht="12.75"/>
    <row r="1061" s="112" customFormat="1" ht="12.75"/>
    <row r="1062" s="112" customFormat="1" ht="12.75"/>
    <row r="1063" s="112" customFormat="1" ht="12.75"/>
    <row r="1064" s="112" customFormat="1" ht="12.75"/>
    <row r="1065" s="112" customFormat="1" ht="12.75"/>
    <row r="1066" s="112" customFormat="1" ht="12.75"/>
    <row r="1067" s="112" customFormat="1" ht="12.75"/>
    <row r="1068" s="112" customFormat="1" ht="12.75"/>
    <row r="1069" s="112" customFormat="1" ht="12.75"/>
    <row r="1070" s="112" customFormat="1" ht="12.75"/>
    <row r="1071" s="112" customFormat="1" ht="12.75"/>
    <row r="1072" s="112" customFormat="1" ht="12.75"/>
    <row r="1073" s="112" customFormat="1" ht="12.75"/>
    <row r="1074" s="112" customFormat="1" ht="12.75"/>
    <row r="1075" s="112" customFormat="1" ht="12.75"/>
    <row r="1076" s="112" customFormat="1" ht="12.75"/>
    <row r="1077" s="112" customFormat="1" ht="12.75"/>
    <row r="1078" s="112" customFormat="1" ht="12.75"/>
    <row r="1079" s="112" customFormat="1" ht="12.75"/>
    <row r="1080" s="112" customFormat="1" ht="12.75"/>
    <row r="1081" s="112" customFormat="1" ht="12.75"/>
    <row r="1082" s="112" customFormat="1" ht="12.75"/>
    <row r="1083" s="112" customFormat="1" ht="12.75"/>
    <row r="1084" s="112" customFormat="1" ht="12.75"/>
    <row r="1085" s="112" customFormat="1" ht="12.75"/>
    <row r="1086" s="112" customFormat="1" ht="12.75"/>
    <row r="1087" s="112" customFormat="1" ht="12.75"/>
    <row r="1088" s="112" customFormat="1" ht="12.75"/>
    <row r="1089" s="112" customFormat="1" ht="12.75"/>
    <row r="1090" s="112" customFormat="1" ht="12.75"/>
    <row r="1091" s="112" customFormat="1" ht="12.75"/>
    <row r="1092" s="112" customFormat="1" ht="12.75"/>
    <row r="1093" s="112" customFormat="1" ht="12.75"/>
    <row r="1094" s="112" customFormat="1" ht="12.75"/>
    <row r="1095" s="112" customFormat="1" ht="12.75"/>
    <row r="1096" s="112" customFormat="1" ht="12.75"/>
    <row r="1097" s="112" customFormat="1" ht="12.75"/>
    <row r="1098" s="112" customFormat="1" ht="12.75"/>
    <row r="1099" s="112" customFormat="1" ht="12.75"/>
    <row r="1100" s="112" customFormat="1" ht="12.75"/>
    <row r="1101" s="112" customFormat="1" ht="12.75"/>
    <row r="1102" s="112" customFormat="1" ht="12.75"/>
    <row r="1103" s="112" customFormat="1" ht="12.75"/>
    <row r="1104" s="112" customFormat="1" ht="12.75"/>
    <row r="1105" s="112" customFormat="1" ht="12.75"/>
    <row r="1106" s="112" customFormat="1" ht="12.75"/>
    <row r="1107" s="112" customFormat="1" ht="12.75"/>
    <row r="1108" s="112" customFormat="1" ht="12.75"/>
    <row r="1109" s="112" customFormat="1" ht="12.75"/>
    <row r="1110" s="112" customFormat="1" ht="12.75"/>
    <row r="1111" s="112" customFormat="1" ht="12.75"/>
    <row r="1112" s="112" customFormat="1" ht="12.75"/>
    <row r="1113" s="112" customFormat="1" ht="12.75"/>
    <row r="1114" s="112" customFormat="1" ht="12.75"/>
    <row r="1115" s="112" customFormat="1" ht="12.75"/>
    <row r="1116" s="112" customFormat="1" ht="12.75"/>
    <row r="1117" s="112" customFormat="1" ht="12.75"/>
    <row r="1118" s="112" customFormat="1" ht="12.75"/>
    <row r="1119" s="112" customFormat="1" ht="12.75"/>
    <row r="1120" s="112" customFormat="1" ht="12.75"/>
    <row r="1121" s="112" customFormat="1" ht="12.75"/>
    <row r="1122" s="112" customFormat="1" ht="12.75"/>
    <row r="1123" s="112" customFormat="1" ht="12.75"/>
    <row r="1124" s="112" customFormat="1" ht="12.75"/>
    <row r="1125" s="112" customFormat="1" ht="12.75"/>
    <row r="1126" s="112" customFormat="1" ht="12.75"/>
    <row r="1127" s="112" customFormat="1" ht="12.75"/>
    <row r="1128" s="112" customFormat="1" ht="12.75"/>
    <row r="1129" s="112" customFormat="1" ht="12.75"/>
    <row r="1130" s="112" customFormat="1" ht="12.75"/>
    <row r="1131" s="112" customFormat="1" ht="12.75"/>
    <row r="1132" s="112" customFormat="1" ht="12.75"/>
    <row r="1133" s="112" customFormat="1" ht="12.75"/>
    <row r="1134" s="112" customFormat="1" ht="12.75"/>
    <row r="1135" s="112" customFormat="1" ht="12.75"/>
    <row r="1136" s="112" customFormat="1" ht="12.75"/>
    <row r="1137" s="112" customFormat="1" ht="12.75"/>
    <row r="1138" s="112" customFormat="1" ht="12.75"/>
    <row r="1139" s="112" customFormat="1" ht="12.75"/>
    <row r="1140" s="112" customFormat="1" ht="12.75"/>
    <row r="1141" s="112" customFormat="1" ht="12.75"/>
    <row r="1142" s="112" customFormat="1" ht="12.75"/>
    <row r="1143" s="112" customFormat="1" ht="12.75"/>
    <row r="1144" s="112" customFormat="1" ht="12.75"/>
    <row r="1145" s="112" customFormat="1" ht="12.75"/>
    <row r="1146" s="112" customFormat="1" ht="12.75"/>
    <row r="1147" s="112" customFormat="1" ht="12.75"/>
    <row r="1148" s="112" customFormat="1" ht="12.75"/>
    <row r="1149" s="112" customFormat="1" ht="12.75"/>
    <row r="1150" s="112" customFormat="1" ht="12.75"/>
    <row r="1151" s="112" customFormat="1" ht="12.75"/>
    <row r="1152" s="112" customFormat="1" ht="12.75"/>
    <row r="1153" s="112" customFormat="1" ht="12.75"/>
    <row r="1154" s="112" customFormat="1" ht="12.75"/>
    <row r="1155" s="112" customFormat="1" ht="12.75"/>
    <row r="1156" s="112" customFormat="1" ht="12.75"/>
    <row r="1157" s="112" customFormat="1" ht="12.75"/>
    <row r="1158" s="112" customFormat="1" ht="12.75"/>
    <row r="1159" s="112" customFormat="1" ht="12.75"/>
    <row r="1160" s="112" customFormat="1" ht="12.75"/>
    <row r="1161" s="112" customFormat="1" ht="12.75"/>
    <row r="1162" s="112" customFormat="1" ht="12.75"/>
    <row r="1163" s="112" customFormat="1" ht="12.75"/>
    <row r="1164" s="112" customFormat="1" ht="12.75"/>
    <row r="1165" s="112" customFormat="1" ht="12.75"/>
    <row r="1166" s="112" customFormat="1" ht="12.75"/>
    <row r="1167" s="112" customFormat="1" ht="12.75"/>
    <row r="1168" s="112" customFormat="1" ht="12.75"/>
    <row r="1169" s="112" customFormat="1" ht="12.75"/>
    <row r="1170" s="112" customFormat="1" ht="12.75"/>
    <row r="1171" s="112" customFormat="1" ht="12.75"/>
    <row r="1172" s="112" customFormat="1" ht="12.75"/>
    <row r="1173" s="112" customFormat="1" ht="12.75"/>
    <row r="1174" s="112" customFormat="1" ht="12.75"/>
    <row r="1175" s="112" customFormat="1" ht="12.75"/>
    <row r="1176" s="112" customFormat="1" ht="12.75"/>
    <row r="1177" s="112" customFormat="1" ht="12.75"/>
    <row r="1178" s="112" customFormat="1" ht="12.75"/>
    <row r="1179" s="112" customFormat="1" ht="12.75"/>
    <row r="1180" s="112" customFormat="1" ht="12.75"/>
    <row r="1181" s="112" customFormat="1" ht="12.75"/>
    <row r="1182" s="112" customFormat="1" ht="12.75"/>
    <row r="1183" s="112" customFormat="1" ht="12.75"/>
    <row r="1184" s="112" customFormat="1" ht="12.75"/>
    <row r="1185" s="112" customFormat="1" ht="12.75"/>
    <row r="1186" s="112" customFormat="1" ht="12.75"/>
    <row r="1187" s="112" customFormat="1" ht="12.75"/>
    <row r="1188" s="112" customFormat="1" ht="12.75"/>
    <row r="1189" s="112" customFormat="1" ht="12.75"/>
    <row r="1190" s="112" customFormat="1" ht="12.75"/>
    <row r="1191" s="112" customFormat="1" ht="12.75"/>
    <row r="1192" s="112" customFormat="1" ht="12.75"/>
    <row r="1193" s="112" customFormat="1" ht="12.75"/>
    <row r="1194" s="112" customFormat="1" ht="12.75"/>
    <row r="1195" spans="1:17" s="112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s="112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s="112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s="112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s="112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s="112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s="112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s="112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s="112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s="112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s="112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s="112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s="112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s="112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s="112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s="112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s="112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s="112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s="112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s="112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s="112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s="112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s="112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s="112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s="112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s="112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s="112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s="112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s="112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s="112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s="112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s="112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s="112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s="112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s="112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s="112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s="112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s="112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s="112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s="112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s="112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s="112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s="112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s="112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s="112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s="112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s="112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s="112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s="112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s="112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s="112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s="112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s="112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s="112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s="112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s="112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s="112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s="112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s="112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s="112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s="112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s="112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s="112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s="112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s="112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s="112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s="112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s="112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s="112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s="112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s="112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s="112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s="112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s="112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s="112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s="112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s="112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s="112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s="112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s="112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s="112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s="112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s="112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s="112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s="112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s="112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s="112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s="112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s="112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s="112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s="112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s="112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s="112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s="112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s="112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s="112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s="112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s="112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s="112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s="112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s="112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s="112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s="112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s="112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s="112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s="112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s="112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s="112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s="112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s="112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s="112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s="112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s="112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s="112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s="112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s="112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s="112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s="112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s="112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s="112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s="112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s="112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s="112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s="112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s="112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s="112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s="112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s="112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s="112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s="112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s="112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s="112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s="112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s="112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s="112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s="112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s="112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s="112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s="112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s="112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s="112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s="112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s="112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s="112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s="112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s="112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s="112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s="112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s="112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s="112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s="112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s="112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s="112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s="112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s="112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s="112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s="112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s="112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s="112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s="112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s="112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s="112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s="112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s="112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s="112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s="112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s="112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s="112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s="112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s="112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s="112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s="112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s="112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s="112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s="112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s="112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s="112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s="112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s="112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s="112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s="112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s="112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s="112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s="112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s="112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s="112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s="112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s="112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s="112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s="112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s="112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s="112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s="112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s="112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s="112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s="112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s="112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s="112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s="112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s="112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s="112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s="112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s="112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s="112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s="112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s="112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s="112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s="112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s="112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s="112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s="112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s="112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s="112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s="112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s="112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s="112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s="112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s="112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s="112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s="112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s="112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s="112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s="112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s="112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s="112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s="112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s="112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s="112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s="112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s="112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s="112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s="112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s="112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s="112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s="112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s="112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s="112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s="112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s="112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s="112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s="112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s="112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s="112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s="112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s="112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s="112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s="112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s="112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s="112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s="112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s="112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s="112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s="112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s="112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s="112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s="112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s="112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s="112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s="112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s="112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s="112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s="112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s="112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s="112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s="112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s="112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s="112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s="112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s="112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s="112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s="112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s="112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s="112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s="112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s="112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s="112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s="112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s="112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s="112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s="112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s="112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s="112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s="112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s="112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s="112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s="112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s="112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s="112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s="112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s="112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s="112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s="112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s="112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s="112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s="112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s="112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s="112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s="112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s="112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s="112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s="112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s="112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s="112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s="112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s="112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s="112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s="112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s="112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s="112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s="112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s="112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s="112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s="112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s="112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s="112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s="112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s="112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s="112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s="112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s="112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s="112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s="112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s="112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s="112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s="112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s="112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s="112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s="112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s="112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s="112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s="112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s="112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s="112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s="112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s="112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s="112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s="112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s="112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s="112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s="112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s="112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s="112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s="112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s="112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s="112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s="112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s="112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s="112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s="112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s="112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s="112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s="112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s="112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s="112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s="112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s="112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s="112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s="112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s="112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s="112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s="112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s="112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s="112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s="112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s="112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s="112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s="112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s="112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s="112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s="112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s="112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s="112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s="112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s="112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s="112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s="112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s="112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s="112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s="112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s="112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s="112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s="112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s="112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s="112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s="112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s="112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s="112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s="112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s="112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s="112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s="112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s="112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s="112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s="112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s="112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s="112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s="112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s="112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s="112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s="112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s="112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s="112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s="112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s="112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s="112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s="112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s="112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s="112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s="112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s="112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s="112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s="112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s="112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s="112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s="112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s="112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s="112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s="112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s="112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s="112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s="112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s="112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s="112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s="112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s="112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s="112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s="112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s="112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s="112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s="112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s="112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s="112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s="112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s="112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s="112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s="112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s="112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s="112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s="112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s="112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s="112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s="112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s="112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s="112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s="112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s="112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s="112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s="112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s="112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s="112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s="112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s="112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s="112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s="112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s="112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s="112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s="112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s="112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s="112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s="112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s="112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s="112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s="112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s="112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s="112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s="112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s="112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s="112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s="112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s="112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s="112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s="112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s="112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s="112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s="112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s="112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s="112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s="112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s="112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s="112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s="112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s="112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s="112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s="112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s="112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s="112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s="112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s="112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s="112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s="112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s="112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s="112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s="112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s="112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s="112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s="112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s="112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s="112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s="112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s="112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s="112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s="112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s="112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s="112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s="112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s="112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s="112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s="112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s="112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s="112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s="112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s="112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s="112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s="112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s="112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s="112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s="112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s="112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s="112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s="112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s="112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s="112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s="112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s="112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s="112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s="112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s="112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s="112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s="112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s="112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s="112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s="112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s="112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s="112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s="112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s="112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s="112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s="112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s="112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s="112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s="112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s="112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s="112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s="112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s="112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s="112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s="112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s="112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s="112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s="112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s="112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s="112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s="112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s="112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s="112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s="112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s="112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s="112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s="112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s="112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s="112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s="112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s="112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s="112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s="112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s="112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s="112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s="112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s="112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s="112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s="112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s="112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s="112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s="112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s="112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s="112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s="112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s="112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s="112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s="112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s="112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s="112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s="112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s="112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s="112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s="112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s="112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s="112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s="112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s="112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s="112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s="112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s="112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s="112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s="112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s="112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s="112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s="112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s="112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s="112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s="112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s="112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s="112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s="112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s="112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s="112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s="112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s="112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s="112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s="112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s="112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s="112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s="112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s="112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s="112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s="112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s="112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s="112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s="112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s="112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s="112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s="112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s="112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s="112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s="112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s="112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s="112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s="112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s="112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s="112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s="112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s="112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s="112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s="112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s="112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s="112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s="112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s="112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s="112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s="112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s="112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s="112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s="112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s="112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s="112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s="112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s="112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s="112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s="112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s="112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s="112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s="112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s="112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s="112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s="112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s="112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s="112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s="112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s="112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s="112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s="112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s="112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s="112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s="112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s="112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s="112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s="112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s="112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s="112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s="112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s="112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s="112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s="112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s="112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s="112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s="112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s="112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s="112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s="112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s="112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s="112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s="112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s="112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s="112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s="112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s="112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s="112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s="112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s="112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s="112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s="112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s="112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s="112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s="112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s="112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s="112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s="112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s="112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s="112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s="112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s="112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s="112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s="112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s="112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s="112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s="112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s="112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s="112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s="112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s="112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s="112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s="112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s="112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s="112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s="112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s="112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s="112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s="112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s="112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s="112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s="112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s="112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s="112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s="112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s="112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s="112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s="112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s="112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s="112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s="112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s="112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s="112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s="112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s="112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s="112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s="112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s="112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s="112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s="112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s="112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s="112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s="112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s="112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s="112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s="112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s="112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s="112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s="112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s="112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s="112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s="112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s="112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s="112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s="112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s="112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s="112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s="112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s="112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s="112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s="112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s="112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s="112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s="112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s="112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s="112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s="112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s="112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s="112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s="112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s="112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s="112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s="112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s="112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s="112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s="112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s="112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s="112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s="112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s="112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s="112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s="112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s="112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s="112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s="112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s="112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s="112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s="112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s="112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s="112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s="112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s="112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s="112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s="112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s="112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s="112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s="112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s="112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s="112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s="112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s="112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s="112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s="112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s="112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s="112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s="112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s="112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s="112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s="112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s="112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s="112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s="112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s="112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s="112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s="112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s="112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s="112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s="112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s="112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s="112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s="112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s="112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s="112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s="112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s="112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s="112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s="112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s="112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s="112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s="112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s="112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s="112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s="112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s="112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s="112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s="112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s="112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s="112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s="112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s="112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s="112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s="112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s="112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s="112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s="112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s="112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s="112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s="112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s="112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s="112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s="112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s="112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s="112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s="112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s="112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s="112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s="112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s="112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s="112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s="112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s="112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s="112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s="112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s="112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s="112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s="112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s="112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s="112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s="112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s="112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s="112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s="112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s="112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s="112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s="112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s="112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s="112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s="112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s="112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s="112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s="112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s="112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s="112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s="112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s="112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s="112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s="112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s="112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s="112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s="112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s="112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s="112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s="112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s="112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s="112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s="112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s="112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s="112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s="112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s="112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s="112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s="112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s="112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s="112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s="112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s="112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s="112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s="112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s="112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s="112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s="112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s="112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s="112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s="112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s="112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s="112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s="112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s="112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s="112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s="112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s="112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s="112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s="112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s="112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s="112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s="112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s="112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s="112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s="112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s="112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s="112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s="112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s="112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s="112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s="112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s="112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s="112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s="112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s="112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s="112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s="112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s="112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s="112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s="112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s="112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s="112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s="112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s="112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s="112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s="112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s="112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s="112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s="112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s="112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s="112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s="112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s="112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s="112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s="112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s="112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s="112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s="112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s="112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s="112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s="112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s="112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s="112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s="112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s="112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s="112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s="112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s="112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s="112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s="112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s="112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s="112" customFormat="1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s="112" customFormat="1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s="112" customFormat="1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s="112" customFormat="1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s="112" customFormat="1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s="112" customFormat="1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s="112" customFormat="1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s="112" customFormat="1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s="112" customFormat="1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s="112" customFormat="1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s="112" customFormat="1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s="112" customFormat="1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s="112" customFormat="1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s="112" customFormat="1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s="112" customFormat="1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s="112" customFormat="1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s="112" customFormat="1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s="112" customFormat="1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s="112" customFormat="1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s="112" customFormat="1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s="112" customFormat="1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s="112" customFormat="1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s="112" customFormat="1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s="112" customFormat="1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s="112" customFormat="1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s="112" customFormat="1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s="112" customFormat="1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s="112" customFormat="1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s="112" customFormat="1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s="112" customFormat="1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s="112" customFormat="1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s="112" customFormat="1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s="112" customFormat="1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s="112" customFormat="1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s="112" customFormat="1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s="112" customFormat="1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s="112" customFormat="1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s="112" customFormat="1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s="112" customFormat="1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s="112" customFormat="1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s="112" customFormat="1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s="112" customFormat="1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s="112" customFormat="1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s="112" customFormat="1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s="112" customFormat="1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s="112" customFormat="1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s="112" customFormat="1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s="112" customFormat="1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s="112" customFormat="1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s="112" customFormat="1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s="112" customFormat="1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s="112" customFormat="1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s="112" customFormat="1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s="112" customFormat="1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s="112" customFormat="1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s="112" customFormat="1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s="112" customFormat="1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s="112" customFormat="1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s="112" customFormat="1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s="112" customFormat="1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s="112" customFormat="1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s="112" customFormat="1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s="112" customFormat="1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s="112" customFormat="1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s="112" customFormat="1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s="112" customFormat="1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s="112" customFormat="1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s="112" customFormat="1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s="112" customFormat="1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s="112" customFormat="1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s="112" customFormat="1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s="112" customFormat="1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s="112" customFormat="1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s="112" customFormat="1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s="112" customFormat="1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s="112" customFormat="1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s="112" customFormat="1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s="112" customFormat="1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s="112" customFormat="1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s="112" customFormat="1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s="112" customFormat="1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s="112" customFormat="1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s="112" customFormat="1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s="112" customFormat="1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s="112" customFormat="1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s="112" customFormat="1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s="112" customFormat="1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s="112" customFormat="1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s="112" customFormat="1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s="112" customFormat="1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s="112" customFormat="1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s="112" customFormat="1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s="112" customFormat="1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s="112" customFormat="1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s="112" customFormat="1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s="112" customFormat="1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s="112" customFormat="1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s="112" customFormat="1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s="112" customFormat="1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s="112" customFormat="1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s="112" customFormat="1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s="112" customFormat="1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s="112" customFormat="1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s="112" customFormat="1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s="112" customFormat="1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s="112" customFormat="1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s="112" customFormat="1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s="112" customFormat="1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s="112" customFormat="1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s="112" customFormat="1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s="112" customFormat="1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s="112" customFormat="1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s="112" customFormat="1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s="112" customFormat="1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s="112" customFormat="1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s="112" customFormat="1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s="112" customFormat="1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s="112" customFormat="1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s="112" customFormat="1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s="112" customFormat="1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s="112" customFormat="1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s="112" customFormat="1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s="112" customFormat="1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s="112" customFormat="1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s="112" customFormat="1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s="112" customFormat="1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s="112" customFormat="1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s="112" customFormat="1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s="112" customFormat="1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s="112" customFormat="1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s="112" customFormat="1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s="112" customFormat="1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s="112" customFormat="1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s="112" customFormat="1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s="112" customFormat="1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s="112" customFormat="1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s="112" customFormat="1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s="112" customFormat="1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s="112" customFormat="1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s="112" customFormat="1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s="112" customFormat="1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s="112" customFormat="1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s="112" customFormat="1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s="112" customFormat="1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s="112" customFormat="1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s="112" customFormat="1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s="112" customFormat="1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s="112" customFormat="1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s="112" customFormat="1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s="112" customFormat="1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s="112" customFormat="1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s="112" customFormat="1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s="112" customFormat="1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s="112" customFormat="1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s="112" customFormat="1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s="112" customFormat="1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s="112" customFormat="1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s="112" customFormat="1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s="112" customFormat="1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s="112" customFormat="1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s="112" customFormat="1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s="112" customFormat="1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s="112" customFormat="1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s="112" customFormat="1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s="112" customFormat="1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s="112" customFormat="1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s="112" customFormat="1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s="112" customFormat="1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s="112" customFormat="1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s="112" customFormat="1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s="112" customFormat="1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s="112" customFormat="1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s="112" customFormat="1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s="112" customFormat="1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s="112" customFormat="1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s="112" customFormat="1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s="112" customFormat="1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s="112" customFormat="1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s="112" customFormat="1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s="112" customFormat="1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s="112" customFormat="1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s="112" customFormat="1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s="112" customFormat="1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s="112" customFormat="1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s="112" customFormat="1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s="112" customFormat="1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s="112" customFormat="1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s="112" customFormat="1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s="112" customFormat="1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s="112" customFormat="1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s="112" customFormat="1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s="112" customFormat="1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s="112" customFormat="1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s="112" customFormat="1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s="112" customFormat="1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s="112" customFormat="1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s="112" customFormat="1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s="112" customFormat="1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s="112" customFormat="1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s="112" customFormat="1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s="112" customFormat="1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s="112" customFormat="1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s="112" customFormat="1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s="112" customFormat="1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s="112" customFormat="1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s="112" customFormat="1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s="112" customFormat="1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s="112" customFormat="1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s="112" customFormat="1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s="112" customFormat="1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s="112" customFormat="1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s="112" customFormat="1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s="112" customFormat="1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s="112" customFormat="1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s="112" customFormat="1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s="112" customFormat="1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s="112" customFormat="1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s="112" customFormat="1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s="112" customFormat="1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s="112" customFormat="1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s="112" customFormat="1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s="112" customFormat="1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s="112" customFormat="1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s="112" customFormat="1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s="112" customFormat="1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s="112" customFormat="1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s="112" customFormat="1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s="112" customFormat="1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s="112" customFormat="1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s="112" customFormat="1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s="112" customFormat="1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s="112" customFormat="1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s="112" customFormat="1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s="112" customFormat="1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s="112" customFormat="1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s="112" customFormat="1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s="112" customFormat="1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s="112" customFormat="1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s="112" customFormat="1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s="112" customFormat="1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s="112" customFormat="1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s="112" customFormat="1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s="112" customFormat="1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s="112" customFormat="1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s="112" customFormat="1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s="112" customFormat="1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s="112" customFormat="1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s="112" customFormat="1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s="112" customFormat="1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s="112" customFormat="1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s="112" customFormat="1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s="112" customFormat="1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s="112" customFormat="1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s="112" customFormat="1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s="112" customFormat="1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s="112" customFormat="1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s="112" customFormat="1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s="112" customFormat="1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s="112" customFormat="1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s="112" customFormat="1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s="112" customFormat="1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s="112" customFormat="1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s="112" customFormat="1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s="112" customFormat="1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s="112" customFormat="1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s="112" customFormat="1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s="112" customFormat="1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s="112" customFormat="1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s="112" customFormat="1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s="112" customFormat="1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s="112" customFormat="1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s="112" customFormat="1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s="112" customFormat="1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s="112" customFormat="1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s="112" customFormat="1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s="112" customFormat="1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s="112" customFormat="1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s="112" customFormat="1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s="112" customFormat="1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s="112" customFormat="1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s="112" customFormat="1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s="112" customFormat="1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s="112" customFormat="1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s="112" customFormat="1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s="112" customFormat="1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s="112" customFormat="1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s="112" customFormat="1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s="112" customFormat="1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s="112" customFormat="1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s="112" customFormat="1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s="112" customFormat="1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s="112" customFormat="1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s="112" customFormat="1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s="112" customFormat="1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s="112" customFormat="1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s="112" customFormat="1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s="112" customFormat="1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s="112" customFormat="1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s="112" customFormat="1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s="112" customFormat="1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s="112" customFormat="1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s="112" customFormat="1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s="112" customFormat="1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s="112" customFormat="1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s="112" customFormat="1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s="112" customFormat="1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s="112" customFormat="1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s="112" customFormat="1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s="112" customFormat="1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s="112" customFormat="1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s="112" customFormat="1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s="112" customFormat="1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s="112" customFormat="1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s="112" customFormat="1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s="112" customFormat="1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s="112" customFormat="1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s="112" customFormat="1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s="112" customFormat="1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s="112" customFormat="1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s="112" customFormat="1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s="112" customFormat="1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s="112" customFormat="1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s="112" customFormat="1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s="112" customFormat="1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s="112" customFormat="1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s="112" customFormat="1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s="112" customFormat="1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s="112" customFormat="1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s="112" customFormat="1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s="112" customFormat="1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s="112" customFormat="1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s="112" customFormat="1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s="112" customFormat="1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s="112" customFormat="1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s="112" customFormat="1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s="112" customFormat="1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s="112" customFormat="1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s="112" customFormat="1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s="112" customFormat="1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s="112" customFormat="1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s="112" customFormat="1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s="112" customFormat="1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s="112" customFormat="1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s="112" customFormat="1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s="112" customFormat="1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s="112" customFormat="1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s="112" customFormat="1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s="112" customFormat="1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s="112" customFormat="1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s="112" customFormat="1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s="112" customFormat="1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s="112" customFormat="1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s="112" customFormat="1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s="112" customFormat="1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s="112" customFormat="1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s="112" customFormat="1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s="112" customFormat="1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s="112" customFormat="1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s="112" customFormat="1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s="112" customFormat="1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s="112" customFormat="1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s="112" customFormat="1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s="112" customFormat="1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s="112" customFormat="1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s="112" customFormat="1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s="112" customFormat="1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s="112" customFormat="1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s="112" customFormat="1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s="112" customFormat="1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s="112" customFormat="1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s="112" customFormat="1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s="112" customFormat="1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s="112" customFormat="1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s="112" customFormat="1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s="112" customFormat="1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s="112" customFormat="1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s="112" customFormat="1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s="112" customFormat="1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s="112" customFormat="1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s="112" customFormat="1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s="112" customFormat="1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s="112" customFormat="1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s="112" customFormat="1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s="112" customFormat="1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s="112" customFormat="1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s="112" customFormat="1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s="112" customFormat="1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s="112" customFormat="1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s="112" customFormat="1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s="112" customFormat="1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s="112" customFormat="1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s="112" customFormat="1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s="112" customFormat="1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s="112" customFormat="1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s="112" customFormat="1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s="112" customFormat="1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s="112" customFormat="1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s="112" customFormat="1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s="112" customFormat="1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s="112" customFormat="1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s="112" customFormat="1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s="112" customFormat="1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s="112" customFormat="1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s="112" customFormat="1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s="112" customFormat="1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s="112" customFormat="1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s="112" customFormat="1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s="112" customFormat="1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s="112" customFormat="1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s="112" customFormat="1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s="112" customFormat="1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s="112" customFormat="1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s="112" customFormat="1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s="112" customFormat="1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s="112" customFormat="1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s="112" customFormat="1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s="112" customFormat="1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s="112" customFormat="1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s="112" customFormat="1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s="112" customFormat="1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s="112" customFormat="1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s="112" customFormat="1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s="112" customFormat="1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s="112" customFormat="1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s="112" customFormat="1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s="112" customFormat="1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s="112" customFormat="1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s="112" customFormat="1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s="112" customFormat="1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s="112" customFormat="1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s="112" customFormat="1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s="112" customFormat="1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s="112" customFormat="1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s="112" customFormat="1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s="112" customFormat="1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s="112" customFormat="1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s="112" customFormat="1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s="112" customFormat="1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s="112" customFormat="1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s="112" customFormat="1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s="112" customFormat="1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s="112" customFormat="1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s="112" customFormat="1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s="112" customFormat="1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s="112" customFormat="1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s="112" customFormat="1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s="112" customFormat="1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s="112" customFormat="1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s="112" customFormat="1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s="112" customFormat="1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s="112" customFormat="1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s="112" customFormat="1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s="112" customFormat="1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s="112" customFormat="1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s="112" customFormat="1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s="112" customFormat="1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s="112" customFormat="1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s="112" customFormat="1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s="112" customFormat="1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s="112" customFormat="1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s="112" customFormat="1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s="112" customFormat="1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s="112" customFormat="1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s="112" customFormat="1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s="112" customFormat="1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s="112" customFormat="1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s="112" customFormat="1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s="112" customFormat="1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s="112" customFormat="1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s="112" customFormat="1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s="112" customFormat="1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s="112" customFormat="1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s="112" customFormat="1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s="112" customFormat="1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s="112" customFormat="1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s="112" customFormat="1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s="112" customFormat="1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s="112" customFormat="1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s="112" customFormat="1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s="112" customFormat="1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s="112" customFormat="1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s="112" customFormat="1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s="112" customFormat="1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s="112" customFormat="1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s="112" customFormat="1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s="112" customFormat="1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s="112" customFormat="1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s="112" customFormat="1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s="112" customFormat="1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s="112" customFormat="1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s="112" customFormat="1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s="112" customFormat="1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s="112" customFormat="1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s="112" customFormat="1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s="112" customFormat="1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s="112" customFormat="1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s="112" customFormat="1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s="112" customFormat="1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s="112" customFormat="1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s="112" customFormat="1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s="112" customFormat="1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s="112" customFormat="1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s="112" customFormat="1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s="112" customFormat="1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s="112" customFormat="1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s="112" customFormat="1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s="112" customFormat="1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s="112" customFormat="1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s="112" customFormat="1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s="112" customFormat="1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s="112" customFormat="1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s="112" customFormat="1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s="112" customFormat="1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s="112" customFormat="1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s="112" customFormat="1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s="112" customFormat="1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s="112" customFormat="1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s="112" customFormat="1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s="112" customFormat="1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s="112" customFormat="1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s="112" customFormat="1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s="112" customFormat="1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s="112" customFormat="1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s="112" customFormat="1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s="112" customFormat="1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s="112" customFormat="1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s="112" customFormat="1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s="112" customFormat="1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s="112" customFormat="1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s="112" customFormat="1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s="112" customFormat="1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s="112" customFormat="1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s="112" customFormat="1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s="112" customFormat="1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s="112" customFormat="1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s="112" customFormat="1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s="112" customFormat="1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s="112" customFormat="1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s="112" customFormat="1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s="112" customFormat="1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s="112" customFormat="1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s="112" customFormat="1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s="112" customFormat="1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s="112" customFormat="1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s="112" customFormat="1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s="112" customFormat="1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s="112" customFormat="1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s="112" customFormat="1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s="112" customFormat="1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s="112" customFormat="1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s="112" customFormat="1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s="112" customFormat="1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s="112" customFormat="1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s="112" customFormat="1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s="112" customFormat="1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s="112" customFormat="1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s="112" customFormat="1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s="112" customFormat="1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s="112" customFormat="1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s="112" customFormat="1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s="112" customFormat="1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s="112" customFormat="1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s="112" customFormat="1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s="112" customFormat="1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s="112" customFormat="1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s="112" customFormat="1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s="112" customFormat="1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s="112" customFormat="1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s="112" customFormat="1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s="112" customFormat="1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s="112" customFormat="1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s="112" customFormat="1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s="112" customFormat="1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s="112" customFormat="1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s="112" customFormat="1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s="112" customFormat="1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s="112" customFormat="1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s="112" customFormat="1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s="112" customFormat="1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s="112" customFormat="1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s="112" customFormat="1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s="112" customFormat="1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s="112" customFormat="1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s="112" customFormat="1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s="112" customFormat="1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s="112" customFormat="1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s="112" customFormat="1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s="112" customFormat="1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s="112" customFormat="1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s="112" customFormat="1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s="112" customFormat="1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s="112" customFormat="1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s="112" customFormat="1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s="112" customFormat="1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s="112" customFormat="1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s="112" customFormat="1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s="112" customFormat="1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s="112" customFormat="1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s="112" customFormat="1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s="112" customFormat="1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s="112" customFormat="1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s="112" customFormat="1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s="112" customFormat="1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s="112" customFormat="1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s="112" customFormat="1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s="112" customFormat="1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s="112" customFormat="1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s="112" customFormat="1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s="112" customFormat="1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s="112" customFormat="1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s="112" customFormat="1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s="112" customFormat="1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s="112" customFormat="1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s="112" customFormat="1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s="112" customFormat="1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s="112" customFormat="1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s="112" customFormat="1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s="112" customFormat="1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s="112" customFormat="1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s="112" customFormat="1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s="112" customFormat="1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s="112" customFormat="1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s="112" customFormat="1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s="112" customFormat="1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s="112" customFormat="1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s="112" customFormat="1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s="112" customFormat="1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s="112" customFormat="1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s="112" customFormat="1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s="112" customFormat="1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s="112" customFormat="1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s="112" customFormat="1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s="112" customFormat="1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s="112" customFormat="1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s="112" customFormat="1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s="112" customFormat="1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s="112" customFormat="1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s="112" customFormat="1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s="112" customFormat="1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s="112" customFormat="1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s="112" customFormat="1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s="112" customFormat="1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s="112" customFormat="1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s="112" customFormat="1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s="112" customFormat="1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s="112" customFormat="1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s="112" customFormat="1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s="112" customFormat="1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s="112" customFormat="1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s="112" customFormat="1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s="112" customFormat="1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s="112" customFormat="1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s="112" customFormat="1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s="112" customFormat="1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s="112" customFormat="1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s="112" customFormat="1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s="112" customFormat="1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s="112" customFormat="1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s="112" customFormat="1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s="112" customFormat="1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s="112" customFormat="1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s="112" customFormat="1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s="112" customFormat="1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s="112" customFormat="1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s="112" customFormat="1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s="112" customFormat="1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s="112" customFormat="1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s="112" customFormat="1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s="112" customFormat="1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s="112" customFormat="1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s="112" customFormat="1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s="112" customFormat="1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s="112" customFormat="1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s="112" customFormat="1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s="112" customFormat="1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s="112" customFormat="1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s="112" customFormat="1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s="112" customFormat="1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s="112" customFormat="1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s="112" customFormat="1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s="112" customFormat="1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s="112" customFormat="1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s="112" customFormat="1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s="112" customFormat="1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s="112" customFormat="1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s="112" customFormat="1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s="112" customFormat="1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s="112" customFormat="1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s="112" customFormat="1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s="112" customFormat="1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s="112" customFormat="1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s="112" customFormat="1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s="112" customFormat="1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s="112" customFormat="1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s="112" customFormat="1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s="112" customFormat="1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s="112" customFormat="1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s="112" customFormat="1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s="112" customFormat="1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s="112" customFormat="1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s="112" customFormat="1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s="112" customFormat="1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s="112" customFormat="1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s="112" customFormat="1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s="112" customFormat="1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s="112" customFormat="1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s="112" customFormat="1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s="112" customFormat="1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s="112" customFormat="1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s="112" customFormat="1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s="112" customFormat="1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s="112" customFormat="1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s="112" customFormat="1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s="112" customFormat="1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s="112" customFormat="1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s="112" customFormat="1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s="112" customFormat="1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s="112" customFormat="1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s="112" customFormat="1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s="112" customFormat="1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s="112" customFormat="1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s="112" customFormat="1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s="112" customFormat="1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s="112" customFormat="1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s="112" customFormat="1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s="112" customFormat="1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s="112" customFormat="1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s="112" customFormat="1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s="112" customFormat="1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s="112" customFormat="1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s="112" customFormat="1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s="112" customFormat="1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s="112" customFormat="1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s="112" customFormat="1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s="112" customFormat="1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s="112" customFormat="1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s="112" customFormat="1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s="112" customFormat="1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s="112" customFormat="1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s="112" customFormat="1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s="112" customFormat="1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s="112" customFormat="1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s="112" customFormat="1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s="112" customFormat="1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s="112" customFormat="1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s="112" customFormat="1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s="112" customFormat="1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s="112" customFormat="1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s="112" customFormat="1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s="112" customFormat="1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s="112" customFormat="1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s="112" customFormat="1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s="112" customFormat="1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s="112" customFormat="1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s="112" customFormat="1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s="112" customFormat="1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s="112" customFormat="1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s="112" customFormat="1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s="112" customFormat="1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s="112" customFormat="1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s="112" customFormat="1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s="112" customFormat="1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s="112" customFormat="1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s="112" customFormat="1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s="112" customFormat="1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s="112" customFormat="1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s="112" customFormat="1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s="112" customFormat="1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s="112" customFormat="1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s="112" customFormat="1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s="112" customFormat="1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s="112" customFormat="1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s="112" customFormat="1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s="112" customFormat="1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s="112" customFormat="1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s="112" customFormat="1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s="112" customFormat="1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s="112" customFormat="1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s="112" customFormat="1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s="112" customFormat="1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s="112" customFormat="1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s="112" customFormat="1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s="112" customFormat="1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s="112" customFormat="1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s="112" customFormat="1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s="112" customFormat="1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s="112" customFormat="1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s="112" customFormat="1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s="112" customFormat="1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s="112" customFormat="1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s="112" customFormat="1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s="112" customFormat="1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s="112" customFormat="1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s="112" customFormat="1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s="112" customFormat="1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s="112" customFormat="1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s="112" customFormat="1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s="112" customFormat="1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s="112" customFormat="1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s="112" customFormat="1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s="112" customFormat="1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s="112" customFormat="1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s="112" customFormat="1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s="112" customFormat="1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s="112" customFormat="1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s="112" customFormat="1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s="112" customFormat="1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s="112" customFormat="1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s="112" customFormat="1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s="112" customFormat="1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s="112" customFormat="1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s="112" customFormat="1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s="112" customFormat="1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s="112" customFormat="1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s="112" customFormat="1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s="112" customFormat="1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s="112" customFormat="1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s="112" customFormat="1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s="112" customFormat="1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s="112" customFormat="1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s="112" customFormat="1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s="112" customFormat="1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s="112" customFormat="1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s="112" customFormat="1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s="112" customFormat="1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s="112" customFormat="1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s="112" customFormat="1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s="112" customFormat="1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s="112" customFormat="1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s="112" customFormat="1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s="112" customFormat="1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s="112" customFormat="1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s="112" customFormat="1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s="112" customFormat="1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s="112" customFormat="1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s="112" customFormat="1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s="112" customFormat="1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s="112" customFormat="1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s="112" customFormat="1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s="112" customFormat="1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s="112" customFormat="1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s="112" customFormat="1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s="112" customFormat="1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s="112" customFormat="1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s="112" customFormat="1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s="112" customFormat="1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s="112" customFormat="1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s="112" customFormat="1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s="112" customFormat="1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s="112" customFormat="1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s="112" customFormat="1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s="112" customFormat="1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s="112" customFormat="1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s="112" customFormat="1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s="112" customFormat="1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s="112" customFormat="1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s="112" customFormat="1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s="112" customFormat="1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s="112" customFormat="1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s="112" customFormat="1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s="112" customFormat="1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s="112" customFormat="1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s="112" customFormat="1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s="112" customFormat="1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s="112" customFormat="1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s="112" customFormat="1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s="112" customFormat="1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s="112" customFormat="1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s="112" customFormat="1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s="112" customFormat="1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s="112" customFormat="1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s="112" customFormat="1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s="112" customFormat="1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s="112" customFormat="1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s="112" customFormat="1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s="112" customFormat="1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s="112" customFormat="1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s="112" customFormat="1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s="112" customFormat="1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s="112" customFormat="1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s="112" customFormat="1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s="112" customFormat="1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s="112" customFormat="1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s="112" customFormat="1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s="112" customFormat="1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s="112" customFormat="1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s="112" customFormat="1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s="112" customFormat="1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s="112" customFormat="1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s="112" customFormat="1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s="112" customFormat="1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s="112" customFormat="1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s="112" customFormat="1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s="112" customFormat="1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s="112" customFormat="1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s="112" customFormat="1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s="112" customFormat="1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s="112" customFormat="1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s="112" customFormat="1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s="112" customFormat="1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s="112" customFormat="1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s="112" customFormat="1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s="112" customFormat="1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s="112" customFormat="1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s="112" customFormat="1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s="112" customFormat="1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s="112" customFormat="1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s="112" customFormat="1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s="112" customFormat="1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s="112" customFormat="1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s="112" customFormat="1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s="112" customFormat="1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s="112" customFormat="1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s="112" customFormat="1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s="112" customFormat="1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s="112" customFormat="1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s="112" customFormat="1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s="112" customFormat="1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s="112" customFormat="1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s="112" customFormat="1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s="112" customFormat="1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s="112" customFormat="1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s="112" customFormat="1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s="112" customFormat="1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s="112" customFormat="1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s="112" customFormat="1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s="112" customFormat="1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s="112" customFormat="1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s="112" customFormat="1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s="112" customFormat="1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s="112" customFormat="1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s="112" customFormat="1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s="112" customFormat="1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s="112" customFormat="1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s="112" customFormat="1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s="112" customFormat="1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s="112" customFormat="1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s="112" customFormat="1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s="112" customFormat="1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s="112" customFormat="1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s="112" customFormat="1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s="112" customFormat="1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s="112" customFormat="1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s="112" customFormat="1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s="112" customFormat="1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s="112" customFormat="1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s="112" customFormat="1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s="112" customFormat="1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s="112" customFormat="1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s="112" customFormat="1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s="112" customFormat="1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s="112" customFormat="1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s="112" customFormat="1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s="112" customFormat="1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s="112" customFormat="1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s="112" customFormat="1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s="112" customFormat="1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s="112" customFormat="1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s="112" customFormat="1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s="112" customFormat="1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s="112" customFormat="1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s="112" customFormat="1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s="112" customFormat="1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s="112" customFormat="1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s="112" customFormat="1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s="112" customFormat="1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s="112" customFormat="1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s="112" customFormat="1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s="112" customFormat="1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s="112" customFormat="1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s="112" customFormat="1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s="112" customFormat="1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s="112" customFormat="1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s="112" customFormat="1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s="112" customFormat="1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s="112" customFormat="1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s="112" customFormat="1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s="112" customFormat="1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s="112" customFormat="1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s="112" customFormat="1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s="112" customFormat="1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s="112" customFormat="1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s="112" customFormat="1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s="112" customFormat="1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s="112" customFormat="1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s="112" customFormat="1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s="112" customFormat="1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s="112" customFormat="1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s="112" customFormat="1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s="112" customFormat="1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s="112" customFormat="1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s="112" customFormat="1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s="112" customFormat="1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s="112" customFormat="1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s="112" customFormat="1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s="112" customFormat="1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s="112" customFormat="1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s="112" customFormat="1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s="112" customFormat="1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s="112" customFormat="1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s="112" customFormat="1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s="112" customFormat="1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s="112" customFormat="1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s="112" customFormat="1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s="112" customFormat="1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s="112" customFormat="1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s="112" customFormat="1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s="112" customFormat="1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s="112" customFormat="1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s="112" customFormat="1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s="112" customFormat="1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s="112" customFormat="1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s="112" customFormat="1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s="112" customFormat="1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s="112" customFormat="1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s="112" customFormat="1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s="112" customFormat="1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s="112" customFormat="1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s="112" customFormat="1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s="112" customFormat="1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s="112" customFormat="1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s="112" customFormat="1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s="112" customFormat="1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s="112" customFormat="1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s="112" customFormat="1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s="112" customFormat="1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s="112" customFormat="1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s="112" customFormat="1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s="112" customFormat="1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s="112" customFormat="1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s="112" customFormat="1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s="112" customFormat="1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s="112" customFormat="1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s="112" customFormat="1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s="112" customFormat="1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s="112" customFormat="1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s="112" customFormat="1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s="112" customFormat="1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s="112" customFormat="1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s="112" customFormat="1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s="112" customFormat="1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s="112" customFormat="1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s="112" customFormat="1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s="112" customFormat="1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s="112" customFormat="1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s="112" customFormat="1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s="112" customFormat="1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s="112" customFormat="1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s="112" customFormat="1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s="112" customFormat="1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s="112" customFormat="1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s="112" customFormat="1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s="112" customFormat="1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s="112" customFormat="1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s="112" customFormat="1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s="112" customFormat="1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s="112" customFormat="1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s="112" customFormat="1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s="112" customFormat="1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s="112" customFormat="1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s="112" customFormat="1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s="112" customFormat="1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s="112" customFormat="1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s="112" customFormat="1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s="112" customFormat="1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s="112" customFormat="1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s="112" customFormat="1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s="112" customFormat="1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s="112" customFormat="1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s="112" customFormat="1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s="112" customFormat="1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s="112" customFormat="1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s="112" customFormat="1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s="112" customFormat="1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s="112" customFormat="1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s="112" customFormat="1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s="112" customFormat="1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s="112" customFormat="1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s="112" customFormat="1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s="112" customFormat="1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7" s="112" customFormat="1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</row>
    <row r="3250" spans="1:17" s="112" customFormat="1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</row>
    <row r="3251" spans="1:17" s="112" customFormat="1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</row>
    <row r="3252" spans="1:17" s="112" customFormat="1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</row>
    <row r="3253" spans="1:17" s="112" customFormat="1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</row>
    <row r="3254" spans="1:17" s="112" customFormat="1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</row>
    <row r="3255" spans="1:17" s="112" customFormat="1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</row>
    <row r="3256" spans="1:17" s="112" customFormat="1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</row>
    <row r="3257" spans="1:17" s="112" customFormat="1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</row>
    <row r="3258" spans="1:17" s="112" customFormat="1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</row>
    <row r="3259" spans="1:17" s="112" customFormat="1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</row>
    <row r="3260" spans="1:17" s="112" customFormat="1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</row>
    <row r="3261" spans="1:17" s="112" customFormat="1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</row>
    <row r="3262" spans="1:17" s="112" customFormat="1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</row>
    <row r="3263" spans="1:17" s="112" customFormat="1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</row>
    <row r="3264" spans="1:17" s="112" customFormat="1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</row>
    <row r="3265" spans="1:17" s="112" customFormat="1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</row>
    <row r="3266" spans="1:17" s="112" customFormat="1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</row>
    <row r="3267" spans="1:17" s="112" customFormat="1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</row>
    <row r="3268" spans="1:17" s="112" customFormat="1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</row>
    <row r="3269" spans="1:17" s="112" customFormat="1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</row>
    <row r="3270" spans="1:17" s="112" customFormat="1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</row>
    <row r="3271" spans="1:17" s="112" customFormat="1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</row>
    <row r="3272" spans="1:17" s="112" customFormat="1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</row>
    <row r="3273" spans="1:17" s="112" customFormat="1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</row>
    <row r="3274" spans="1:17" s="112" customFormat="1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</row>
    <row r="3275" spans="1:17" s="112" customFormat="1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</row>
    <row r="3276" spans="1:17" s="112" customFormat="1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</row>
    <row r="3277" spans="1:17" s="112" customFormat="1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</row>
    <row r="3278" spans="1:17" s="112" customFormat="1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</row>
    <row r="3279" spans="1:17" s="112" customFormat="1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</row>
    <row r="3280" spans="1:17" s="112" customFormat="1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</row>
    <row r="3281" spans="1:17" s="112" customFormat="1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</row>
    <row r="3282" spans="1:17" s="112" customFormat="1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</row>
    <row r="3283" spans="1:17" s="112" customFormat="1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</row>
    <row r="3284" spans="1:17" s="112" customFormat="1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</row>
    <row r="3285" spans="1:17" s="112" customFormat="1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</row>
    <row r="3286" spans="1:17" s="112" customFormat="1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</row>
    <row r="3287" spans="1:17" s="112" customFormat="1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</row>
    <row r="3288" spans="1:17" s="112" customFormat="1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</row>
    <row r="3289" spans="1:17" s="112" customFormat="1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</row>
    <row r="3290" spans="1:17" s="112" customFormat="1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</row>
    <row r="3291" spans="1:17" s="112" customFormat="1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</row>
    <row r="3292" spans="1:17" s="112" customFormat="1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</row>
    <row r="3293" spans="1:17" s="112" customFormat="1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</row>
    <row r="3294" spans="1:17" s="112" customFormat="1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</row>
    <row r="3295" spans="1:17" s="112" customFormat="1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</row>
    <row r="3296" spans="1:17" s="112" customFormat="1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</row>
    <row r="3297" spans="1:17" s="112" customFormat="1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</row>
    <row r="3298" spans="1:17" s="112" customFormat="1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</row>
    <row r="3299" spans="1:17" s="112" customFormat="1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</row>
    <row r="3300" spans="1:17" s="112" customFormat="1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</row>
    <row r="3301" spans="1:17" s="112" customFormat="1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</row>
    <row r="3302" spans="1:17" s="112" customFormat="1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</row>
    <row r="3303" spans="1:17" s="112" customFormat="1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</row>
    <row r="3304" spans="1:17" s="112" customFormat="1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</row>
    <row r="3305" spans="1:17" s="112" customFormat="1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</row>
    <row r="3306" spans="1:17" s="112" customFormat="1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</row>
    <row r="3307" spans="1:17" s="112" customFormat="1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</row>
    <row r="3308" spans="1:17" s="112" customFormat="1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</row>
    <row r="3309" spans="1:17" s="112" customFormat="1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</row>
    <row r="3310" spans="1:17" s="112" customFormat="1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</row>
    <row r="3311" spans="1:17" s="112" customFormat="1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</row>
    <row r="3312" spans="1:17" s="112" customFormat="1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</row>
    <row r="3313" spans="1:17" s="112" customFormat="1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</row>
    <row r="3314" spans="1:17" s="112" customFormat="1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</row>
    <row r="3315" spans="1:17" s="112" customFormat="1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</row>
    <row r="3316" spans="1:17" s="112" customFormat="1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</row>
    <row r="3317" spans="1:17" s="112" customFormat="1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</row>
    <row r="3318" spans="1:17" s="112" customFormat="1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</row>
    <row r="3319" spans="1:17" s="112" customFormat="1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</row>
    <row r="3320" spans="1:17" s="112" customFormat="1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</row>
    <row r="3321" spans="1:17" s="112" customFormat="1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</row>
    <row r="3322" spans="1:17" s="112" customFormat="1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</row>
    <row r="3323" spans="1:17" s="112" customFormat="1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</row>
    <row r="3324" spans="1:17" s="112" customFormat="1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</row>
    <row r="3325" spans="1:17" s="112" customFormat="1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</row>
    <row r="3326" spans="1:17" s="112" customFormat="1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</row>
    <row r="3327" spans="1:17" s="112" customFormat="1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</row>
    <row r="3328" spans="1:17" s="112" customFormat="1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</row>
    <row r="3329" spans="1:17" s="112" customFormat="1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</row>
    <row r="3330" spans="1:17" s="112" customFormat="1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</row>
    <row r="3331" spans="1:17" s="112" customFormat="1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</row>
    <row r="3332" spans="1:17" s="112" customFormat="1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</row>
    <row r="3333" spans="1:17" s="112" customFormat="1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</row>
    <row r="3334" spans="1:17" s="112" customFormat="1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</row>
    <row r="3335" spans="1:17" s="112" customFormat="1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</row>
    <row r="3336" spans="1:17" s="112" customFormat="1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</row>
    <row r="3337" spans="1:17" s="112" customFormat="1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</row>
    <row r="3338" spans="1:17" s="112" customFormat="1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</row>
    <row r="3339" spans="1:17" s="112" customFormat="1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</row>
    <row r="3340" spans="1:17" s="112" customFormat="1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</row>
    <row r="3341" spans="1:17" s="112" customFormat="1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</row>
    <row r="3342" spans="1:17" s="112" customFormat="1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</row>
    <row r="3343" spans="1:17" s="112" customFormat="1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</row>
    <row r="3344" spans="1:17" s="112" customFormat="1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</row>
    <row r="3345" spans="1:17" s="112" customFormat="1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</row>
    <row r="3346" spans="1:17" s="112" customFormat="1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</row>
    <row r="3347" spans="1:17" s="112" customFormat="1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</row>
    <row r="3348" spans="1:17" s="112" customFormat="1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</row>
    <row r="3349" spans="1:17" s="112" customFormat="1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</row>
    <row r="3350" spans="1:17" s="112" customFormat="1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</row>
    <row r="3351" spans="1:17" s="112" customFormat="1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</row>
    <row r="3352" spans="1:17" s="112" customFormat="1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</row>
    <row r="3353" spans="1:17" s="112" customFormat="1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</row>
    <row r="3354" spans="1:17" s="112" customFormat="1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</row>
    <row r="3355" spans="1:17" s="112" customFormat="1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</row>
    <row r="3356" spans="1:17" s="112" customFormat="1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</row>
    <row r="3357" spans="1:17" s="112" customFormat="1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</row>
    <row r="3358" spans="1:17" s="112" customFormat="1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</row>
    <row r="3359" spans="1:17" s="112" customFormat="1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</row>
    <row r="3360" spans="1:17" s="112" customFormat="1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</row>
    <row r="3361" spans="1:17" s="112" customFormat="1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</row>
    <row r="3362" spans="1:17" s="112" customFormat="1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</row>
    <row r="3363" spans="1:17" s="112" customFormat="1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</row>
    <row r="3364" spans="1:17" s="112" customFormat="1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</row>
    <row r="3365" spans="1:17" s="112" customFormat="1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</row>
    <row r="3366" spans="1:17" s="112" customFormat="1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</row>
    <row r="3367" spans="1:17" s="112" customFormat="1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</row>
    <row r="3368" spans="1:17" s="112" customFormat="1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</row>
    <row r="3369" spans="1:17" s="112" customFormat="1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</row>
    <row r="3370" spans="1:17" s="112" customFormat="1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</row>
    <row r="3371" spans="1:17" s="112" customFormat="1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</row>
    <row r="3372" spans="1:17" s="112" customFormat="1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</row>
    <row r="3373" spans="1:17" s="112" customFormat="1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</row>
    <row r="3374" spans="1:17" s="112" customFormat="1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</row>
    <row r="3375" spans="1:17" s="112" customFormat="1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</row>
    <row r="3376" spans="1:17" s="112" customFormat="1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</row>
    <row r="3377" spans="1:17" s="112" customFormat="1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</row>
    <row r="3378" spans="1:17" s="112" customFormat="1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</row>
    <row r="3379" spans="1:17" s="112" customFormat="1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</row>
    <row r="3380" spans="1:17" s="112" customFormat="1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</row>
    <row r="3381" spans="1:17" s="112" customFormat="1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</row>
    <row r="3382" spans="1:17" s="112" customFormat="1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</row>
    <row r="3383" spans="1:17" s="112" customFormat="1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</row>
    <row r="3384" spans="1:17" s="112" customFormat="1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</row>
    <row r="3385" spans="1:17" s="112" customFormat="1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</row>
    <row r="3386" spans="1:17" s="112" customFormat="1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</row>
    <row r="3387" spans="1:17" s="112" customFormat="1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</row>
    <row r="3388" spans="1:17" s="112" customFormat="1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</row>
    <row r="3389" spans="1:17" s="112" customFormat="1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</row>
    <row r="3390" spans="1:17" s="112" customFormat="1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</row>
    <row r="3391" spans="1:17" s="112" customFormat="1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</row>
    <row r="3392" spans="1:17" s="112" customFormat="1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</row>
    <row r="3393" spans="1:17" s="112" customFormat="1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</row>
    <row r="3394" spans="1:17" s="112" customFormat="1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</row>
    <row r="3395" spans="1:17" s="112" customFormat="1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</row>
    <row r="3396" spans="1:17" s="112" customFormat="1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</row>
    <row r="3397" spans="1:17" s="112" customFormat="1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</row>
    <row r="3398" spans="1:17" s="112" customFormat="1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</row>
    <row r="3399" spans="1:17" s="112" customFormat="1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</row>
    <row r="3400" spans="1:17" s="112" customFormat="1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</row>
    <row r="3401" spans="1:17" s="112" customFormat="1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</row>
    <row r="3402" spans="1:17" s="112" customFormat="1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</row>
    <row r="3403" spans="1:17" s="112" customFormat="1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</row>
    <row r="3404" spans="1:17" s="112" customFormat="1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</row>
    <row r="3405" spans="1:17" s="112" customFormat="1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</row>
    <row r="3406" spans="1:17" s="112" customFormat="1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</row>
    <row r="3407" spans="1:17" s="112" customFormat="1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</row>
    <row r="3408" spans="1:17" s="112" customFormat="1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</row>
    <row r="3409" spans="1:17" s="112" customFormat="1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</row>
    <row r="3410" spans="1:17" s="112" customFormat="1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</row>
    <row r="3411" spans="1:17" s="112" customFormat="1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</row>
    <row r="3412" spans="1:17" s="112" customFormat="1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</row>
    <row r="3413" spans="1:17" s="112" customFormat="1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</row>
    <row r="3414" spans="1:17" s="112" customFormat="1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</row>
    <row r="3415" spans="1:17" s="112" customFormat="1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</row>
    <row r="3416" spans="1:17" s="112" customFormat="1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</row>
    <row r="3417" spans="1:17" s="112" customFormat="1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</row>
    <row r="3418" spans="1:17" s="112" customFormat="1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</row>
    <row r="3419" spans="1:17" s="112" customFormat="1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</row>
    <row r="3420" spans="1:17" s="112" customFormat="1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</row>
    <row r="3421" spans="1:17" s="112" customFormat="1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</row>
    <row r="3422" spans="1:17" s="112" customFormat="1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</row>
    <row r="3423" spans="1:17" s="112" customFormat="1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</row>
    <row r="3424" spans="1:17" s="112" customFormat="1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</row>
    <row r="3425" spans="1:17" s="112" customFormat="1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</row>
    <row r="3426" spans="1:17" s="112" customFormat="1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</row>
    <row r="3427" spans="1:17" s="112" customFormat="1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</row>
    <row r="3428" spans="1:17" s="112" customFormat="1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</row>
    <row r="3429" spans="1:17" s="112" customFormat="1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</row>
    <row r="3430" spans="1:17" s="112" customFormat="1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</row>
    <row r="3431" spans="1:17" s="112" customFormat="1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</row>
    <row r="3432" spans="1:17" s="112" customFormat="1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</row>
    <row r="3433" spans="1:17" s="112" customFormat="1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</row>
    <row r="3434" spans="1:17" s="112" customFormat="1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</row>
    <row r="3435" spans="1:17" s="112" customFormat="1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</row>
    <row r="3436" spans="1:17" s="112" customFormat="1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</row>
    <row r="3437" spans="1:17" s="112" customFormat="1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</row>
    <row r="3438" spans="1:17" s="112" customFormat="1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</row>
    <row r="3439" spans="1:17" s="112" customFormat="1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</row>
    <row r="3440" spans="1:17" s="112" customFormat="1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</row>
    <row r="3441" spans="1:17" s="112" customFormat="1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</row>
    <row r="3442" spans="1:17" s="112" customFormat="1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</row>
    <row r="3443" spans="1:17" s="112" customFormat="1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</row>
    <row r="3444" spans="1:17" s="112" customFormat="1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</row>
    <row r="3445" spans="1:17" s="112" customFormat="1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</row>
    <row r="3446" spans="1:17" s="112" customFormat="1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</row>
    <row r="3447" spans="1:17" s="112" customFormat="1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</row>
    <row r="3448" spans="1:17" s="112" customFormat="1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</row>
    <row r="3449" spans="1:17" s="112" customFormat="1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</row>
    <row r="3450" spans="1:17" s="112" customFormat="1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</row>
    <row r="3451" spans="1:17" s="112" customFormat="1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</row>
    <row r="3452" spans="1:17" s="112" customFormat="1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</row>
    <row r="3453" spans="1:17" s="112" customFormat="1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</row>
    <row r="3454" spans="1:17" s="112" customFormat="1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</row>
    <row r="3455" spans="1:17" s="112" customFormat="1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</row>
    <row r="3456" spans="1:17" s="112" customFormat="1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</row>
    <row r="3457" spans="1:17" s="112" customFormat="1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</row>
    <row r="3458" spans="1:17" s="112" customFormat="1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</row>
    <row r="3459" spans="1:17" s="112" customFormat="1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</row>
    <row r="3460" spans="1:17" s="112" customFormat="1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</row>
    <row r="3461" spans="1:17" s="112" customFormat="1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</row>
    <row r="3462" spans="1:17" s="112" customFormat="1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</row>
    <row r="3463" spans="1:17" s="112" customFormat="1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</row>
    <row r="3464" spans="1:17" s="112" customFormat="1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</row>
    <row r="3465" spans="1:17" s="112" customFormat="1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</row>
    <row r="3466" spans="1:17" s="112" customFormat="1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</row>
    <row r="3467" spans="1:17" s="112" customFormat="1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</row>
    <row r="3468" spans="1:17" s="112" customFormat="1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</row>
    <row r="3469" spans="1:17" s="112" customFormat="1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</row>
    <row r="3470" spans="1:17" s="112" customFormat="1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</row>
    <row r="3471" spans="1:17" s="112" customFormat="1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</row>
    <row r="3472" spans="1:17" s="112" customFormat="1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</row>
    <row r="3473" spans="1:17" s="112" customFormat="1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</row>
    <row r="3474" spans="1:17" s="112" customFormat="1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</row>
    <row r="3475" spans="1:17" s="112" customFormat="1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</row>
    <row r="3476" spans="1:17" s="112" customFormat="1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</row>
    <row r="3477" spans="1:17" s="112" customFormat="1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</row>
    <row r="3478" spans="1:17" s="112" customFormat="1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</row>
    <row r="3479" spans="1:17" s="112" customFormat="1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</row>
    <row r="3480" spans="1:17" s="112" customFormat="1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</row>
    <row r="3481" spans="1:17" s="112" customFormat="1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</row>
    <row r="3482" spans="1:17" s="112" customFormat="1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</row>
    <row r="3483" spans="1:17" s="112" customFormat="1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</row>
    <row r="3484" spans="1:17" s="112" customFormat="1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</row>
    <row r="3485" spans="1:17" s="112" customFormat="1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</row>
    <row r="3486" spans="1:17" s="112" customFormat="1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</row>
    <row r="3487" spans="1:17" s="112" customFormat="1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</row>
    <row r="3488" spans="1:17" s="112" customFormat="1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</row>
    <row r="3489" spans="1:17" s="112" customFormat="1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</row>
    <row r="3490" spans="1:17" s="112" customFormat="1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</row>
    <row r="3491" spans="1:17" s="112" customFormat="1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</row>
    <row r="3492" spans="1:17" s="112" customFormat="1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</row>
    <row r="3493" spans="1:17" s="112" customFormat="1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</row>
    <row r="3494" spans="1:17" s="112" customFormat="1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</row>
    <row r="3495" spans="1:17" s="112" customFormat="1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</row>
    <row r="3496" spans="1:17" s="112" customFormat="1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</row>
    <row r="3497" spans="1:17" s="112" customFormat="1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</row>
    <row r="3498" spans="1:17" s="112" customFormat="1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</row>
    <row r="3499" spans="1:17" s="112" customFormat="1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</row>
    <row r="3500" spans="1:17" s="112" customFormat="1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</row>
    <row r="3501" spans="1:17" s="112" customFormat="1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</row>
    <row r="3502" spans="1:17" s="112" customFormat="1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</row>
    <row r="3503" spans="1:17" s="112" customFormat="1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</row>
    <row r="3504" spans="1:17" s="112" customFormat="1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</row>
    <row r="3505" spans="1:17" s="112" customFormat="1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</row>
    <row r="3506" spans="1:17" s="112" customFormat="1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</row>
    <row r="3507" spans="1:17" s="112" customFormat="1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</row>
    <row r="3508" spans="1:17" s="112" customFormat="1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</row>
    <row r="3509" spans="1:17" s="112" customFormat="1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</row>
    <row r="3510" spans="1:17" s="112" customFormat="1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</row>
    <row r="3511" spans="1:17" s="112" customFormat="1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</row>
    <row r="3512" spans="1:17" s="112" customFormat="1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</row>
    <row r="3513" spans="1:17" s="112" customFormat="1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</row>
    <row r="3514" spans="1:17" s="112" customFormat="1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</row>
    <row r="3515" spans="1:17" s="112" customFormat="1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</row>
    <row r="3516" spans="1:17" s="112" customFormat="1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</row>
    <row r="3517" spans="1:17" s="112" customFormat="1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</row>
    <row r="3518" spans="1:17" s="112" customFormat="1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</row>
    <row r="3519" spans="1:17" s="112" customFormat="1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</row>
    <row r="3520" spans="1:17" s="112" customFormat="1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</row>
    <row r="3521" spans="1:17" s="112" customFormat="1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</row>
    <row r="3522" spans="1:17" s="112" customFormat="1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</row>
    <row r="3523" spans="1:17" s="112" customFormat="1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</row>
    <row r="3524" spans="1:17" s="112" customFormat="1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</row>
    <row r="3525" spans="1:17" s="112" customFormat="1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</row>
    <row r="3526" spans="1:17" s="112" customFormat="1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</row>
    <row r="3527" spans="1:17" s="112" customFormat="1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</row>
    <row r="3528" spans="1:17" s="112" customFormat="1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</row>
    <row r="3529" spans="1:17" s="112" customFormat="1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</row>
    <row r="3530" spans="1:17" s="112" customFormat="1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</row>
    <row r="3531" spans="1:17" s="112" customFormat="1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</row>
    <row r="3532" spans="1:17" s="112" customFormat="1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</row>
    <row r="3533" spans="1:17" s="112" customFormat="1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</row>
    <row r="3534" spans="1:17" s="112" customFormat="1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</row>
    <row r="3535" spans="1:17" s="112" customFormat="1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</row>
    <row r="3536" spans="1:17" s="112" customFormat="1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</row>
    <row r="3537" spans="1:17" s="112" customFormat="1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</row>
    <row r="3538" spans="1:17" s="112" customFormat="1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</row>
    <row r="3539" spans="1:17" s="112" customFormat="1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</row>
    <row r="3540" spans="1:17" s="112" customFormat="1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</row>
    <row r="3541" spans="1:17" s="112" customFormat="1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</row>
    <row r="3542" spans="1:17" s="112" customFormat="1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</row>
    <row r="3543" spans="1:17" s="112" customFormat="1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</row>
    <row r="3544" spans="1:17" s="112" customFormat="1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</row>
    <row r="3545" spans="1:17" s="112" customFormat="1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</row>
    <row r="3546" spans="1:17" s="112" customFormat="1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</row>
    <row r="3547" spans="1:17" s="112" customFormat="1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</row>
    <row r="3548" spans="1:17" s="112" customFormat="1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</row>
    <row r="3549" spans="1:17" s="112" customFormat="1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</row>
    <row r="3550" spans="1:17" s="112" customFormat="1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</row>
    <row r="3551" spans="1:17" s="112" customFormat="1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</row>
    <row r="3552" spans="1:17" s="112" customFormat="1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</row>
    <row r="3553" spans="1:17" s="112" customFormat="1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</row>
    <row r="3554" spans="1:17" s="112" customFormat="1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</row>
    <row r="3555" spans="1:17" s="112" customFormat="1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</row>
    <row r="3556" spans="1:17" s="112" customFormat="1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</row>
    <row r="3557" spans="1:17" s="112" customFormat="1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</row>
    <row r="3558" spans="1:17" s="112" customFormat="1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</row>
    <row r="3559" spans="1:17" s="112" customFormat="1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</row>
    <row r="3560" spans="1:17" s="112" customFormat="1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</row>
    <row r="3561" spans="1:17" s="112" customFormat="1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</row>
    <row r="3562" spans="1:17" s="112" customFormat="1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</row>
    <row r="3563" spans="1:17" s="112" customFormat="1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</row>
    <row r="3564" spans="1:17" s="112" customFormat="1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</row>
    <row r="3565" spans="1:17" s="112" customFormat="1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</row>
    <row r="3566" spans="1:17" s="112" customFormat="1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</row>
    <row r="3567" spans="1:17" s="112" customFormat="1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</row>
    <row r="3568" spans="1:17" s="112" customFormat="1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</row>
    <row r="3569" spans="1:17" s="112" customFormat="1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</row>
    <row r="3570" spans="1:17" s="112" customFormat="1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</row>
    <row r="3571" spans="1:17" s="112" customFormat="1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</row>
    <row r="3572" spans="1:17" s="112" customFormat="1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</row>
    <row r="3573" spans="1:17" s="112" customFormat="1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</row>
    <row r="3574" spans="1:17" s="112" customFormat="1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</row>
    <row r="3575" spans="1:17" s="112" customFormat="1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</row>
    <row r="3576" spans="1:17" s="112" customFormat="1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</row>
    <row r="3577" spans="1:17" s="112" customFormat="1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</row>
    <row r="3578" spans="1:17" s="112" customFormat="1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</row>
    <row r="3579" spans="1:17" s="112" customFormat="1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</row>
    <row r="3580" spans="1:17" s="112" customFormat="1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</row>
    <row r="3581" spans="1:17" s="112" customFormat="1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</row>
    <row r="3582" spans="1:17" s="112" customFormat="1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</row>
    <row r="3583" spans="1:17" s="112" customFormat="1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</row>
    <row r="3584" spans="1:17" s="112" customFormat="1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</row>
    <row r="3585" spans="1:17" s="112" customFormat="1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</row>
    <row r="3586" spans="1:17" s="112" customFormat="1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</row>
    <row r="3587" spans="1:17" s="112" customFormat="1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</row>
    <row r="3588" spans="1:17" s="112" customFormat="1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</row>
    <row r="3589" spans="1:17" s="112" customFormat="1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</row>
    <row r="3590" spans="1:17" s="112" customFormat="1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</row>
    <row r="3591" spans="1:17" s="112" customFormat="1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</row>
    <row r="3592" spans="1:17" s="112" customFormat="1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</row>
    <row r="3593" spans="1:17" s="112" customFormat="1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</row>
    <row r="3594" spans="1:17" s="112" customFormat="1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</row>
    <row r="3595" spans="1:17" s="112" customFormat="1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</row>
    <row r="3596" spans="1:17" s="112" customFormat="1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</row>
    <row r="3597" spans="1:17" s="112" customFormat="1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</row>
    <row r="3598" spans="1:17" s="112" customFormat="1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</row>
    <row r="3599" spans="1:17" s="112" customFormat="1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</row>
    <row r="3600" spans="1:17" s="112" customFormat="1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</row>
    <row r="3601" spans="1:17" s="112" customFormat="1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</row>
    <row r="3602" spans="1:17" s="112" customFormat="1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</row>
    <row r="3603" spans="1:17" s="112" customFormat="1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</row>
    <row r="3604" spans="1:17" s="112" customFormat="1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</row>
    <row r="3605" spans="1:17" s="112" customFormat="1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</row>
    <row r="3606" spans="1:17" s="112" customFormat="1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</row>
    <row r="3607" spans="1:17" s="112" customFormat="1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</row>
    <row r="3608" spans="1:17" s="112" customFormat="1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</row>
    <row r="3609" spans="1:17" s="112" customFormat="1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</row>
    <row r="3610" spans="1:17" s="112" customFormat="1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</row>
    <row r="3611" spans="1:17" s="112" customFormat="1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</row>
    <row r="3612" spans="1:17" s="112" customFormat="1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</row>
    <row r="3613" spans="1:17" s="112" customFormat="1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</row>
    <row r="3614" spans="1:17" s="112" customFormat="1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</row>
    <row r="3615" spans="1:17" s="112" customFormat="1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</row>
    <row r="3616" spans="1:17" s="112" customFormat="1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</row>
    <row r="3617" spans="1:17" s="112" customFormat="1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</row>
    <row r="3618" spans="1:17" s="112" customFormat="1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</row>
    <row r="3619" spans="1:17" s="112" customFormat="1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</row>
    <row r="3620" spans="1:17" s="112" customFormat="1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</row>
    <row r="3621" spans="1:17" s="112" customFormat="1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</row>
    <row r="3622" spans="1:17" s="112" customFormat="1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</row>
    <row r="3623" spans="1:17" s="112" customFormat="1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</row>
    <row r="3624" spans="1:17" s="112" customFormat="1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</row>
    <row r="3625" spans="1:17" s="112" customFormat="1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</row>
    <row r="3626" spans="1:17" s="112" customFormat="1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</row>
    <row r="3627" spans="1:17" s="112" customFormat="1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</row>
    <row r="3628" spans="1:17" s="112" customFormat="1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</row>
    <row r="3629" spans="1:17" s="112" customFormat="1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</row>
    <row r="3630" spans="1:17" s="112" customFormat="1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</row>
    <row r="3631" spans="1:17" s="112" customFormat="1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</row>
    <row r="3632" spans="1:17" s="112" customFormat="1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</row>
    <row r="3633" spans="1:17" s="112" customFormat="1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</row>
    <row r="3634" spans="1:17" s="112" customFormat="1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</row>
    <row r="3635" spans="1:17" s="112" customFormat="1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</row>
    <row r="3636" spans="1:17" s="112" customFormat="1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</row>
    <row r="3637" spans="1:17" s="112" customFormat="1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</row>
    <row r="3638" spans="1:17" s="112" customFormat="1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</row>
    <row r="3639" spans="1:17" s="112" customFormat="1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</row>
    <row r="3640" spans="1:17" s="112" customFormat="1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</row>
    <row r="3641" spans="1:17" s="112" customFormat="1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</row>
    <row r="3642" spans="1:17" s="112" customFormat="1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</row>
    <row r="3643" spans="1:17" s="112" customFormat="1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</row>
    <row r="3644" spans="1:17" s="112" customFormat="1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</row>
    <row r="3645" spans="1:17" s="112" customFormat="1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</row>
    <row r="3646" spans="1:17" s="112" customFormat="1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</row>
    <row r="3647" spans="1:17" s="112" customFormat="1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</row>
    <row r="3648" spans="1:17" s="112" customFormat="1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</row>
    <row r="3649" spans="1:17" s="112" customFormat="1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</row>
    <row r="3650" spans="1:17" s="112" customFormat="1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</row>
    <row r="3651" spans="1:17" s="112" customFormat="1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</row>
    <row r="3652" spans="1:17" s="112" customFormat="1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</row>
    <row r="3653" spans="1:17" s="112" customFormat="1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</row>
    <row r="3654" spans="1:17" s="112" customFormat="1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</row>
    <row r="3655" spans="1:17" s="112" customFormat="1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</row>
    <row r="3656" spans="1:17" s="112" customFormat="1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</row>
    <row r="3657" spans="1:17" s="112" customFormat="1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</row>
    <row r="3658" spans="1:17" s="112" customFormat="1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</row>
    <row r="3659" spans="1:17" s="112" customFormat="1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</row>
    <row r="3660" spans="1:17" s="112" customFormat="1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</row>
    <row r="3661" spans="1:17" s="112" customFormat="1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</row>
    <row r="3662" spans="1:17" s="112" customFormat="1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</row>
    <row r="3663" spans="1:17" s="112" customFormat="1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</row>
    <row r="3664" spans="1:17" s="112" customFormat="1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</row>
    <row r="3665" spans="1:17" s="112" customFormat="1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</row>
    <row r="3666" spans="1:17" s="112" customFormat="1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</row>
    <row r="3667" spans="1:17" s="112" customFormat="1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</row>
    <row r="3668" spans="1:17" s="112" customFormat="1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</row>
    <row r="3669" spans="1:17" s="112" customFormat="1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</row>
    <row r="3670" spans="1:17" s="112" customFormat="1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</row>
    <row r="3671" spans="1:17" s="112" customFormat="1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</row>
    <row r="3672" spans="1:17" s="112" customFormat="1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</row>
    <row r="3673" spans="1:17" s="112" customFormat="1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</row>
    <row r="3674" spans="1:17" s="112" customFormat="1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</row>
    <row r="3675" spans="1:17" s="112" customFormat="1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</row>
    <row r="3676" spans="1:17" s="112" customFormat="1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</row>
    <row r="3677" spans="1:17" s="112" customFormat="1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</row>
    <row r="3678" spans="1:17" s="112" customFormat="1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</row>
    <row r="3679" spans="1:17" s="112" customFormat="1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</row>
    <row r="3680" spans="1:17" s="112" customFormat="1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</row>
    <row r="3681" spans="1:17" s="112" customFormat="1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</row>
    <row r="3682" spans="1:17" s="112" customFormat="1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</row>
    <row r="3683" spans="1:17" s="112" customFormat="1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</row>
    <row r="3684" spans="1:17" s="112" customFormat="1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</row>
    <row r="3685" spans="1:17" s="112" customFormat="1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</row>
    <row r="3686" spans="1:17" s="112" customFormat="1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</row>
    <row r="3687" spans="1:17" s="112" customFormat="1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</row>
    <row r="3688" spans="1:17" s="112" customFormat="1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</row>
    <row r="3689" spans="1:17" s="112" customFormat="1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</row>
    <row r="3690" spans="1:17" s="112" customFormat="1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</row>
    <row r="3691" spans="1:17" s="112" customFormat="1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</row>
    <row r="3692" spans="1:17" s="112" customFormat="1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</row>
    <row r="3693" spans="1:17" s="112" customFormat="1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</row>
    <row r="3694" spans="1:17" s="112" customFormat="1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</row>
    <row r="3695" spans="1:17" s="112" customFormat="1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</row>
    <row r="3696" spans="1:17" s="112" customFormat="1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</row>
    <row r="3697" spans="1:17" s="112" customFormat="1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</row>
    <row r="3698" spans="1:17" s="112" customFormat="1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</row>
    <row r="3699" spans="1:17" s="112" customFormat="1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</row>
    <row r="3700" spans="1:17" s="112" customFormat="1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</row>
    <row r="3701" spans="1:17" s="112" customFormat="1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</row>
    <row r="3702" spans="1:17" s="112" customFormat="1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</row>
    <row r="3703" spans="1:17" s="112" customFormat="1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</row>
    <row r="3704" spans="1:17" s="112" customFormat="1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</row>
    <row r="3705" spans="1:17" s="112" customFormat="1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</row>
    <row r="3706" spans="1:17" s="112" customFormat="1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</row>
    <row r="3707" spans="1:17" s="112" customFormat="1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</row>
    <row r="3708" spans="1:17" s="112" customFormat="1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</row>
    <row r="3709" spans="1:17" s="112" customFormat="1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</row>
    <row r="3710" spans="1:17" s="112" customFormat="1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</row>
    <row r="3711" spans="1:17" s="112" customFormat="1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</row>
    <row r="3712" spans="1:17" s="112" customFormat="1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</row>
    <row r="3713" spans="1:17" s="112" customFormat="1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</row>
    <row r="3714" spans="1:17" s="112" customFormat="1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</row>
    <row r="3715" spans="1:17" s="112" customFormat="1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</row>
    <row r="3716" spans="1:17" s="112" customFormat="1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</row>
    <row r="3717" spans="1:17" s="112" customFormat="1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</row>
    <row r="3718" spans="1:17" s="112" customFormat="1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</row>
    <row r="3719" spans="1:17" s="112" customFormat="1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</row>
    <row r="3720" spans="1:17" s="112" customFormat="1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</row>
    <row r="3721" spans="1:17" s="112" customFormat="1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</row>
    <row r="3722" spans="1:17" s="112" customFormat="1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</row>
    <row r="3723" spans="1:17" s="112" customFormat="1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</row>
    <row r="3724" spans="1:17" s="112" customFormat="1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</row>
    <row r="3725" spans="1:17" s="112" customFormat="1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</row>
    <row r="3726" spans="1:17" s="112" customFormat="1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</row>
    <row r="3727" spans="1:17" s="112" customFormat="1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</row>
    <row r="3728" spans="1:17" s="112" customFormat="1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</row>
    <row r="3729" spans="1:17" s="112" customFormat="1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</row>
    <row r="3730" spans="1:17" s="112" customFormat="1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</row>
    <row r="3731" spans="1:17" s="112" customFormat="1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</row>
    <row r="3732" spans="1:17" s="112" customFormat="1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</row>
    <row r="3733" spans="1:17" s="112" customFormat="1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</row>
    <row r="3734" spans="1:17" s="112" customFormat="1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</row>
    <row r="3735" spans="1:17" s="112" customFormat="1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</row>
    <row r="3736" spans="1:17" s="112" customFormat="1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</row>
    <row r="3737" spans="1:17" s="112" customFormat="1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</row>
    <row r="3738" spans="1:17" s="112" customFormat="1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</row>
    <row r="3739" spans="1:17" s="112" customFormat="1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</row>
    <row r="3740" spans="1:17" s="112" customFormat="1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</row>
    <row r="3741" spans="1:17" s="112" customFormat="1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</row>
    <row r="3742" spans="1:17" s="112" customFormat="1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</row>
    <row r="3743" spans="1:17" s="112" customFormat="1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</row>
    <row r="3744" spans="1:17" s="112" customFormat="1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</row>
    <row r="3745" spans="1:17" s="112" customFormat="1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</row>
    <row r="3746" spans="1:17" s="112" customFormat="1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</row>
    <row r="3747" spans="1:17" s="112" customFormat="1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</row>
    <row r="3748" spans="1:17" s="112" customFormat="1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</row>
    <row r="3749" spans="1:17" s="112" customFormat="1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</row>
    <row r="3750" spans="1:17" s="112" customFormat="1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</row>
    <row r="3751" spans="1:17" s="112" customFormat="1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</row>
    <row r="3752" spans="1:17" s="112" customFormat="1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</row>
    <row r="3753" spans="1:17" s="112" customFormat="1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</row>
    <row r="3754" spans="1:17" s="112" customFormat="1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</row>
    <row r="3755" spans="1:17" s="112" customFormat="1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</row>
    <row r="3756" spans="1:17" s="112" customFormat="1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</row>
    <row r="3757" spans="1:17" s="112" customFormat="1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</row>
    <row r="3758" spans="1:17" s="112" customFormat="1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</row>
    <row r="3759" spans="1:17" s="112" customFormat="1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</row>
    <row r="3760" spans="1:17" s="112" customFormat="1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</row>
    <row r="3761" spans="1:17" s="112" customFormat="1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</row>
    <row r="3762" spans="1:17" s="112" customFormat="1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</row>
    <row r="3763" spans="1:17" s="112" customFormat="1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</row>
    <row r="3764" spans="1:17" s="112" customFormat="1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</row>
    <row r="3765" spans="1:17" s="112" customFormat="1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</row>
    <row r="3766" spans="1:17" s="112" customFormat="1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</row>
    <row r="3767" spans="1:17" s="112" customFormat="1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</row>
    <row r="3768" spans="1:17" s="112" customFormat="1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</row>
    <row r="3769" spans="1:17" s="112" customFormat="1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</row>
    <row r="3770" spans="1:17" s="112" customFormat="1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</row>
    <row r="3771" spans="1:17" s="112" customFormat="1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</row>
    <row r="3772" spans="1:17" s="112" customFormat="1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</row>
    <row r="3773" spans="1:17" s="112" customFormat="1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</row>
    <row r="3774" spans="1:17" s="112" customFormat="1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</row>
    <row r="3775" spans="1:17" s="112" customFormat="1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</row>
    <row r="3776" spans="1:17" s="112" customFormat="1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</row>
    <row r="3777" spans="1:17" s="112" customFormat="1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</row>
    <row r="3778" spans="1:17" s="112" customFormat="1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</row>
    <row r="3779" spans="1:17" s="112" customFormat="1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</row>
    <row r="3780" spans="1:17" s="112" customFormat="1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</row>
    <row r="3781" spans="1:17" s="112" customFormat="1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</row>
    <row r="3782" spans="1:17" s="112" customFormat="1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</row>
    <row r="3783" spans="1:17" s="112" customFormat="1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</row>
    <row r="3784" spans="1:17" s="112" customFormat="1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</row>
    <row r="3785" spans="1:17" s="112" customFormat="1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</row>
    <row r="3786" spans="1:17" s="112" customFormat="1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</row>
    <row r="3787" spans="1:17" s="112" customFormat="1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</row>
    <row r="3788" spans="1:17" s="112" customFormat="1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</row>
    <row r="3789" spans="1:17" s="112" customFormat="1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</row>
    <row r="3790" spans="1:17" s="112" customFormat="1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</row>
    <row r="3791" spans="1:17" s="112" customFormat="1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</row>
    <row r="3792" spans="1:17" s="112" customFormat="1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</row>
    <row r="3793" spans="1:17" s="112" customFormat="1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</row>
    <row r="3794" spans="1:17" s="112" customFormat="1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</row>
    <row r="3795" spans="1:17" s="112" customFormat="1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</row>
    <row r="3796" spans="1:17" s="112" customFormat="1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</row>
    <row r="3797" spans="1:17" s="112" customFormat="1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</row>
    <row r="3798" spans="1:17" s="112" customFormat="1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</row>
    <row r="3799" spans="1:17" s="112" customFormat="1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</row>
    <row r="3800" spans="1:17" s="112" customFormat="1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</row>
    <row r="3801" spans="1:17" s="112" customFormat="1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</row>
    <row r="3802" spans="1:17" s="112" customFormat="1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</row>
    <row r="3803" spans="1:17" s="112" customFormat="1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</row>
    <row r="3804" spans="1:17" s="112" customFormat="1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</row>
    <row r="3805" spans="1:17" s="112" customFormat="1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</row>
    <row r="3806" spans="1:17" s="112" customFormat="1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</row>
    <row r="3807" spans="1:17" s="112" customFormat="1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</row>
    <row r="3808" spans="1:17" s="112" customFormat="1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</row>
    <row r="3809" spans="1:17" s="112" customFormat="1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</row>
    <row r="3810" spans="1:17" s="112" customFormat="1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</row>
    <row r="3811" spans="1:17" s="112" customFormat="1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</row>
    <row r="3812" spans="1:17" s="112" customFormat="1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</row>
    <row r="3813" spans="1:17" s="112" customFormat="1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</row>
    <row r="3814" spans="1:17" s="112" customFormat="1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</row>
    <row r="3815" spans="1:17" s="112" customFormat="1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</row>
    <row r="3816" spans="1:17" s="112" customFormat="1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</row>
    <row r="3817" spans="1:17" s="112" customFormat="1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</row>
    <row r="3818" spans="1:17" s="112" customFormat="1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</row>
    <row r="3819" spans="1:17" s="112" customFormat="1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</row>
    <row r="3820" spans="1:17" s="112" customFormat="1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</row>
    <row r="3821" spans="1:17" s="112" customFormat="1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</row>
    <row r="3822" spans="1:17" s="112" customFormat="1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</row>
    <row r="3823" spans="1:17" s="112" customFormat="1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</row>
    <row r="3824" spans="1:17" s="112" customFormat="1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</row>
    <row r="3825" spans="1:17" s="112" customFormat="1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</row>
    <row r="3826" spans="1:17" s="112" customFormat="1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</row>
    <row r="3827" spans="1:17" s="112" customFormat="1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</row>
    <row r="3828" spans="1:17" s="112" customFormat="1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</row>
    <row r="3829" spans="1:17" s="112" customFormat="1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</row>
    <row r="3830" spans="1:17" s="112" customFormat="1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</row>
    <row r="3831" spans="1:17" s="112" customFormat="1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</row>
    <row r="3832" spans="1:17" s="112" customFormat="1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</row>
    <row r="3833" spans="1:17" s="112" customFormat="1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</row>
    <row r="3834" spans="1:17" s="112" customFormat="1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</row>
    <row r="3835" spans="1:17" s="112" customFormat="1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</row>
    <row r="3836" spans="1:17" s="112" customFormat="1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</row>
    <row r="3837" spans="1:17" s="112" customFormat="1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</row>
    <row r="3838" spans="1:17" s="112" customFormat="1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</row>
    <row r="3839" spans="1:17" s="112" customFormat="1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</row>
    <row r="3840" spans="1:17" s="112" customFormat="1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</row>
    <row r="3841" spans="1:17" s="112" customFormat="1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</row>
    <row r="3842" spans="1:17" s="112" customFormat="1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</row>
    <row r="3843" spans="1:17" s="112" customFormat="1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</row>
    <row r="3844" spans="1:17" s="112" customFormat="1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</row>
    <row r="3845" spans="1:17" s="112" customFormat="1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</row>
    <row r="3846" spans="1:17" s="112" customFormat="1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</row>
    <row r="3847" spans="1:17" s="112" customFormat="1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</row>
    <row r="3848" spans="1:17" s="112" customFormat="1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</row>
    <row r="3849" spans="1:17" s="112" customFormat="1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</row>
    <row r="3850" spans="1:17" s="112" customFormat="1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</row>
    <row r="3851" spans="1:17" s="112" customFormat="1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</row>
    <row r="3852" spans="1:17" s="112" customFormat="1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</row>
    <row r="3853" spans="1:17" s="112" customFormat="1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</row>
    <row r="3854" spans="1:17" s="112" customFormat="1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</row>
    <row r="3855" spans="1:17" s="112" customFormat="1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</row>
    <row r="3856" spans="1:17" s="112" customFormat="1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</row>
    <row r="3857" spans="1:17" s="112" customFormat="1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</row>
    <row r="3858" spans="1:17" s="112" customFormat="1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</row>
    <row r="3859" spans="1:17" s="112" customFormat="1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</row>
    <row r="3860" spans="1:17" s="112" customFormat="1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</row>
    <row r="3861" spans="1:17" s="112" customFormat="1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</row>
    <row r="3862" spans="1:17" s="112" customFormat="1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</row>
    <row r="3863" spans="1:17" s="112" customFormat="1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</row>
    <row r="3864" spans="1:17" s="112" customFormat="1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</row>
    <row r="3865" spans="1:17" s="112" customFormat="1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</row>
    <row r="3866" spans="1:17" s="112" customFormat="1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</row>
    <row r="3867" spans="1:17" s="112" customFormat="1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</row>
    <row r="3868" spans="1:17" s="112" customFormat="1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</row>
    <row r="3869" spans="1:17" s="112" customFormat="1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</row>
    <row r="3870" spans="1:17" s="112" customFormat="1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</row>
    <row r="3871" spans="1:17" s="112" customFormat="1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</row>
    <row r="3872" spans="1:17" s="112" customFormat="1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</row>
    <row r="3873" spans="1:17" s="112" customFormat="1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</row>
    <row r="3874" spans="1:17" s="112" customFormat="1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</row>
    <row r="3875" spans="1:17" s="112" customFormat="1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</row>
    <row r="3876" spans="1:17" s="112" customFormat="1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</row>
    <row r="3877" spans="1:17" s="112" customFormat="1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</row>
    <row r="3878" spans="1:17" s="112" customFormat="1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</row>
    <row r="3879" spans="1:17" s="112" customFormat="1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</row>
    <row r="3880" spans="1:17" s="112" customFormat="1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</row>
    <row r="3881" spans="1:17" s="112" customFormat="1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</row>
    <row r="3882" spans="1:17" s="112" customFormat="1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</row>
    <row r="3883" spans="1:17" s="112" customFormat="1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</row>
    <row r="3884" spans="1:17" s="112" customFormat="1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</row>
    <row r="3885" spans="1:17" s="112" customFormat="1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</row>
    <row r="3886" spans="1:17" s="112" customFormat="1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</row>
    <row r="3887" spans="1:17" s="112" customFormat="1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</row>
    <row r="3888" spans="1:17" s="112" customFormat="1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</row>
    <row r="3889" spans="1:17" s="112" customFormat="1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</row>
    <row r="3890" spans="1:17" s="112" customFormat="1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</row>
    <row r="3891" spans="1:17" s="112" customFormat="1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</row>
    <row r="3892" spans="1:17" s="112" customFormat="1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</row>
    <row r="3893" spans="1:17" s="112" customFormat="1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</row>
    <row r="3894" spans="1:17" s="112" customFormat="1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</row>
    <row r="3895" spans="1:17" s="112" customFormat="1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</row>
    <row r="3896" spans="1:17" s="112" customFormat="1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</row>
    <row r="3897" spans="1:17" s="112" customFormat="1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</row>
    <row r="3898" spans="1:17" s="112" customFormat="1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</row>
    <row r="3899" spans="1:17" s="112" customFormat="1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</row>
    <row r="3900" spans="1:17" s="112" customFormat="1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</row>
    <row r="3901" spans="1:17" s="112" customFormat="1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</row>
    <row r="3902" spans="1:17" s="112" customFormat="1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</row>
    <row r="3903" spans="1:17" s="112" customFormat="1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</row>
    <row r="3904" spans="1:17" s="112" customFormat="1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</row>
    <row r="3905" spans="1:17" s="112" customFormat="1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</row>
    <row r="3906" spans="1:17" s="112" customFormat="1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</row>
    <row r="3907" spans="1:17" s="112" customFormat="1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</row>
    <row r="3908" spans="1:17" s="112" customFormat="1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</row>
    <row r="3909" spans="1:17" s="112" customFormat="1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</row>
    <row r="3910" spans="1:17" s="112" customFormat="1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</row>
    <row r="3911" spans="1:17" s="112" customFormat="1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</row>
    <row r="3912" spans="1:17" s="112" customFormat="1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</row>
    <row r="3913" spans="1:17" s="112" customFormat="1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</row>
    <row r="3914" spans="1:17" s="112" customFormat="1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</row>
    <row r="3915" spans="1:17" s="112" customFormat="1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</row>
    <row r="3916" spans="1:17" s="112" customFormat="1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</row>
    <row r="3917" spans="1:17" s="112" customFormat="1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</row>
    <row r="3918" spans="1:17" s="112" customFormat="1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</row>
    <row r="3919" spans="1:17" s="112" customFormat="1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</row>
    <row r="3920" spans="1:17" s="112" customFormat="1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</row>
    <row r="3921" spans="1:17" s="112" customFormat="1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</row>
    <row r="3922" spans="1:17" s="112" customFormat="1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</row>
    <row r="3923" spans="1:17" s="112" customFormat="1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</row>
    <row r="3924" spans="1:17" s="112" customFormat="1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</row>
    <row r="3925" spans="1:17" s="112" customFormat="1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</row>
    <row r="3926" spans="1:17" s="112" customFormat="1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</row>
    <row r="3927" spans="1:17" s="112" customFormat="1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</row>
    <row r="3928" spans="1:17" s="112" customFormat="1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</row>
    <row r="3929" spans="1:17" s="112" customFormat="1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</row>
    <row r="3930" spans="1:17" s="112" customFormat="1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</row>
    <row r="3931" spans="1:17" s="112" customFormat="1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</row>
    <row r="3932" spans="1:17" s="112" customFormat="1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</row>
    <row r="3933" spans="1:17" s="112" customFormat="1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</row>
    <row r="3934" spans="1:17" s="112" customFormat="1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</row>
    <row r="3935" spans="1:17" s="112" customFormat="1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</row>
    <row r="3936" spans="1:17" s="112" customFormat="1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</row>
    <row r="3937" spans="1:17" s="112" customFormat="1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</row>
    <row r="3938" spans="1:17" s="112" customFormat="1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</row>
    <row r="3939" spans="1:17" s="112" customFormat="1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</row>
    <row r="3940" spans="1:17" s="112" customFormat="1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</row>
    <row r="3941" spans="1:17" s="112" customFormat="1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</row>
    <row r="3942" spans="1:17" s="112" customFormat="1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</row>
    <row r="3943" spans="1:17" s="112" customFormat="1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</row>
    <row r="3944" spans="1:17" s="112" customFormat="1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</row>
    <row r="3945" spans="1:17" s="112" customFormat="1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</row>
    <row r="3946" spans="1:17" s="112" customFormat="1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</row>
    <row r="3947" spans="1:17" s="112" customFormat="1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</row>
    <row r="3948" spans="1:17" s="112" customFormat="1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</row>
    <row r="3949" spans="1:17" s="112" customFormat="1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</row>
    <row r="3950" spans="1:17" s="112" customFormat="1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</row>
    <row r="3951" spans="1:17" s="112" customFormat="1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</row>
    <row r="3952" spans="1:17" s="112" customFormat="1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</row>
    <row r="3953" spans="1:17" s="112" customFormat="1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</row>
    <row r="3954" spans="1:17" s="112" customFormat="1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</row>
    <row r="3955" spans="1:17" s="112" customFormat="1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</row>
    <row r="3956" spans="1:17" s="112" customFormat="1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</row>
    <row r="3957" spans="1:17" s="112" customFormat="1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</row>
    <row r="3958" spans="1:17" s="112" customFormat="1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</row>
    <row r="3959" spans="1:17" s="112" customFormat="1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</row>
    <row r="3960" spans="1:17" s="112" customFormat="1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</row>
    <row r="3961" spans="1:17" s="112" customFormat="1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</row>
    <row r="3962" spans="1:17" s="112" customFormat="1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</row>
    <row r="3963" spans="1:17" s="112" customFormat="1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</row>
    <row r="3964" spans="1:17" s="112" customFormat="1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</row>
    <row r="3965" spans="1:17" s="112" customFormat="1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</row>
    <row r="3966" spans="1:17" s="112" customFormat="1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</row>
    <row r="3967" spans="1:17" s="112" customFormat="1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</row>
    <row r="3968" spans="1:17" s="112" customFormat="1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</row>
    <row r="3969" spans="1:17" s="112" customFormat="1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</row>
    <row r="3970" spans="1:17" s="112" customFormat="1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</row>
    <row r="3971" spans="1:17" s="112" customFormat="1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</row>
    <row r="3972" spans="1:17" s="112" customFormat="1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</row>
    <row r="3973" spans="1:17" s="112" customFormat="1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</row>
    <row r="3974" spans="1:17" s="112" customFormat="1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</row>
    <row r="3975" spans="1:17" s="112" customFormat="1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</row>
    <row r="3976" spans="1:17" s="112" customFormat="1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</row>
    <row r="3977" spans="1:17" s="112" customFormat="1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</row>
    <row r="3978" spans="1:17" s="112" customFormat="1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</row>
    <row r="3979" spans="1:17" s="112" customFormat="1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</row>
    <row r="3980" spans="1:17" s="112" customFormat="1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</row>
    <row r="3981" spans="1:17" s="112" customFormat="1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</row>
    <row r="3982" spans="1:17" s="112" customFormat="1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</row>
    <row r="3983" spans="1:17" s="112" customFormat="1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</row>
    <row r="3984" spans="1:17" s="112" customFormat="1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</row>
    <row r="3985" spans="1:17" s="112" customFormat="1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</row>
    <row r="3986" spans="1:17" s="112" customFormat="1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</row>
    <row r="3987" spans="1:17" s="112" customFormat="1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</row>
    <row r="3988" spans="1:17" s="112" customFormat="1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</row>
    <row r="3989" spans="1:17" s="112" customFormat="1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</row>
    <row r="3990" spans="1:17" s="112" customFormat="1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</row>
    <row r="3991" spans="1:17" s="112" customFormat="1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</row>
    <row r="3992" spans="1:17" s="112" customFormat="1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</row>
    <row r="3993" spans="1:17" s="112" customFormat="1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</row>
    <row r="3994" spans="1:17" s="112" customFormat="1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</row>
    <row r="3995" spans="1:17" s="112" customFormat="1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</row>
    <row r="3996" spans="1:17" s="112" customFormat="1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</row>
    <row r="3997" spans="1:17" s="112" customFormat="1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</row>
    <row r="3998" spans="1:17" s="112" customFormat="1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</row>
    <row r="3999" spans="1:17" s="112" customFormat="1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</row>
    <row r="4000" spans="1:17" s="112" customFormat="1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</row>
    <row r="4001" spans="1:17" s="112" customFormat="1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</row>
    <row r="4002" spans="1:17" s="112" customFormat="1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</row>
    <row r="4003" spans="1:17" s="112" customFormat="1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</row>
    <row r="4004" spans="1:17" s="112" customFormat="1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</row>
    <row r="4005" spans="1:17" s="112" customFormat="1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</row>
    <row r="4006" spans="1:17" s="112" customFormat="1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</row>
    <row r="4007" spans="1:17" s="112" customFormat="1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</row>
    <row r="4008" spans="1:17" s="112" customFormat="1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</row>
    <row r="4009" spans="1:17" s="112" customFormat="1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</row>
    <row r="4010" spans="1:17" s="112" customFormat="1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</row>
    <row r="4011" spans="1:17" s="112" customFormat="1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</row>
    <row r="4012" spans="1:17" s="112" customFormat="1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</row>
    <row r="4013" spans="1:17" s="112" customFormat="1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</row>
    <row r="4014" spans="1:17" s="112" customFormat="1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</row>
    <row r="4015" spans="1:17" s="112" customFormat="1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</row>
    <row r="4016" spans="1:17" s="112" customFormat="1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</row>
    <row r="4017" spans="1:17" s="112" customFormat="1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</row>
    <row r="4018" spans="1:17" s="112" customFormat="1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</row>
    <row r="4019" spans="1:17" s="112" customFormat="1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</row>
    <row r="4020" spans="1:17" s="112" customFormat="1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</row>
    <row r="4021" spans="1:17" s="112" customFormat="1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</row>
    <row r="4022" spans="1:17" s="112" customFormat="1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</row>
    <row r="4023" spans="1:17" s="112" customFormat="1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</row>
    <row r="4024" spans="1:17" s="112" customFormat="1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</row>
    <row r="4025" spans="1:17" s="112" customFormat="1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</row>
    <row r="4026" spans="1:17" s="112" customFormat="1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</row>
    <row r="4027" spans="1:17" s="112" customFormat="1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</row>
    <row r="4028" spans="1:17" s="112" customFormat="1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</row>
    <row r="4029" spans="1:17" s="112" customFormat="1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</row>
    <row r="4030" spans="1:17" s="112" customFormat="1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</row>
    <row r="4031" spans="1:17" s="112" customFormat="1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</row>
    <row r="4032" spans="1:17" s="112" customFormat="1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</row>
    <row r="4033" spans="1:17" s="112" customFormat="1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</row>
    <row r="4034" spans="1:17" s="112" customFormat="1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</row>
    <row r="4035" spans="1:17" s="112" customFormat="1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</row>
    <row r="4036" spans="1:17" s="112" customFormat="1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</row>
    <row r="4037" spans="1:17" s="112" customFormat="1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</row>
    <row r="4038" spans="1:17" s="112" customFormat="1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</row>
    <row r="4039" spans="1:17" s="112" customFormat="1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</row>
    <row r="4040" spans="1:17" s="112" customFormat="1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</row>
    <row r="4041" spans="1:17" s="112" customFormat="1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</row>
    <row r="4042" spans="1:17" s="112" customFormat="1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</row>
    <row r="4043" spans="1:17" s="112" customFormat="1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</row>
    <row r="4044" spans="1:17" s="112" customFormat="1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</row>
    <row r="4045" spans="1:17" s="112" customFormat="1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</row>
    <row r="4046" spans="1:17" s="112" customFormat="1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</row>
    <row r="4047" spans="1:17" s="112" customFormat="1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</row>
    <row r="4048" spans="1:17" s="112" customFormat="1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</row>
    <row r="4049" spans="1:17" s="112" customFormat="1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</row>
    <row r="4050" spans="1:17" s="112" customFormat="1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</row>
    <row r="4051" spans="1:17" s="112" customFormat="1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</row>
    <row r="4052" spans="1:17" s="112" customFormat="1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</row>
    <row r="4053" spans="1:17" s="112" customFormat="1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</row>
    <row r="4054" spans="1:17" s="112" customFormat="1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</row>
    <row r="4055" spans="1:17" s="112" customFormat="1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</row>
    <row r="4056" spans="1:17" s="112" customFormat="1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</row>
    <row r="4057" spans="1:17" s="112" customFormat="1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</row>
    <row r="4058" spans="1:17" s="112" customFormat="1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</row>
    <row r="4059" spans="1:17" s="112" customFormat="1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</row>
    <row r="4060" spans="1:17" s="112" customFormat="1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</row>
    <row r="4061" spans="1:17" s="112" customFormat="1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</row>
    <row r="4062" spans="1:17" s="112" customFormat="1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</row>
    <row r="4063" spans="1:17" s="112" customFormat="1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</row>
    <row r="4064" spans="1:17" s="112" customFormat="1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</row>
    <row r="4065" spans="1:17" s="112" customFormat="1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</row>
    <row r="4066" spans="1:17" s="112" customFormat="1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</row>
    <row r="4067" spans="1:17" s="112" customFormat="1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</row>
    <row r="4068" spans="1:17" s="112" customFormat="1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</row>
    <row r="4069" spans="1:17" s="112" customFormat="1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</row>
    <row r="4070" spans="1:17" s="112" customFormat="1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</row>
    <row r="4071" spans="1:17" s="112" customFormat="1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</row>
    <row r="4072" spans="1:17" s="112" customFormat="1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</row>
    <row r="4073" spans="1:17" s="112" customFormat="1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</row>
    <row r="4074" spans="1:17" s="112" customFormat="1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</row>
    <row r="4075" spans="1:17" s="112" customFormat="1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</row>
    <row r="4076" spans="1:17" s="112" customFormat="1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</row>
    <row r="4077" spans="1:17" s="112" customFormat="1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</row>
    <row r="4078" spans="1:17" s="112" customFormat="1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</row>
    <row r="4079" spans="1:17" s="112" customFormat="1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</row>
    <row r="4080" spans="1:17" s="112" customFormat="1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</row>
    <row r="4081" spans="1:17" s="112" customFormat="1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</row>
    <row r="4082" spans="1:17" s="112" customFormat="1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</row>
    <row r="4083" spans="1:17" s="112" customFormat="1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</row>
    <row r="4084" spans="1:17" s="112" customFormat="1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</row>
    <row r="4085" spans="1:17" s="112" customFormat="1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</row>
    <row r="4086" spans="1:17" s="112" customFormat="1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</row>
    <row r="4087" spans="1:17" s="112" customFormat="1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</row>
    <row r="4088" spans="1:17" s="112" customFormat="1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</row>
    <row r="4089" spans="1:17" s="112" customFormat="1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</row>
    <row r="4090" spans="1:17" s="112" customFormat="1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</row>
    <row r="4091" spans="1:17" s="112" customFormat="1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</row>
    <row r="4092" spans="1:17" s="112" customFormat="1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</row>
    <row r="4093" spans="1:17" s="112" customFormat="1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</row>
    <row r="4094" spans="1:17" s="112" customFormat="1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</row>
    <row r="4095" spans="1:17" s="112" customFormat="1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</row>
    <row r="4096" spans="1:17" s="112" customFormat="1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</row>
    <row r="4097" spans="1:17" s="112" customFormat="1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</row>
    <row r="4098" spans="1:17" s="112" customFormat="1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</row>
    <row r="4099" spans="1:17" s="112" customFormat="1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</row>
    <row r="4100" spans="1:17" s="112" customFormat="1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</row>
    <row r="4101" spans="1:17" s="112" customFormat="1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</row>
    <row r="4102" spans="1:17" s="112" customFormat="1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</row>
    <row r="4103" spans="1:17" s="112" customFormat="1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</row>
    <row r="4104" spans="1:17" s="112" customFormat="1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</row>
    <row r="4105" spans="1:17" s="112" customFormat="1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</row>
    <row r="4106" spans="1:17" s="112" customFormat="1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</row>
    <row r="4107" spans="1:17" s="112" customFormat="1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</row>
    <row r="4108" spans="1:17" s="112" customFormat="1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</row>
    <row r="4109" spans="1:17" s="112" customFormat="1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</row>
    <row r="4110" spans="1:17" s="112" customFormat="1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</row>
    <row r="4111" spans="1:17" s="112" customFormat="1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</row>
    <row r="4112" spans="1:17" s="112" customFormat="1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</row>
    <row r="4113" spans="1:17" s="112" customFormat="1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</row>
    <row r="4114" spans="1:17" s="112" customFormat="1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</row>
    <row r="4115" spans="1:17" s="112" customFormat="1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</row>
    <row r="4116" spans="1:17" s="112" customFormat="1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</row>
    <row r="4117" spans="1:17" s="112" customFormat="1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</row>
    <row r="4118" spans="1:17" s="112" customFormat="1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</row>
    <row r="4119" spans="1:17" s="112" customFormat="1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</row>
    <row r="4120" spans="1:17" s="112" customFormat="1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</row>
    <row r="4121" spans="1:17" s="112" customFormat="1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</row>
    <row r="4122" spans="1:17" s="112" customFormat="1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</row>
    <row r="4123" spans="1:17" s="112" customFormat="1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</row>
    <row r="4124" spans="1:17" s="112" customFormat="1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</row>
    <row r="4125" spans="1:17" s="112" customFormat="1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</row>
    <row r="4126" spans="1:17" s="112" customFormat="1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</row>
    <row r="4127" spans="1:17" s="112" customFormat="1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</row>
    <row r="4128" spans="1:17" s="112" customFormat="1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</row>
    <row r="4129" spans="1:17" s="112" customFormat="1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</row>
    <row r="4130" spans="1:17" s="112" customFormat="1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</row>
    <row r="4131" spans="1:17" s="112" customFormat="1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</row>
    <row r="4132" spans="1:17" s="112" customFormat="1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</row>
    <row r="4133" spans="1:17" s="112" customFormat="1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</row>
    <row r="4134" spans="1:17" s="112" customFormat="1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</row>
    <row r="4135" spans="1:17" s="112" customFormat="1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</row>
    <row r="4136" spans="1:17" s="112" customFormat="1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</row>
    <row r="4137" spans="1:17" s="112" customFormat="1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</row>
    <row r="4138" spans="1:17" s="112" customFormat="1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</row>
    <row r="4139" spans="1:17" s="112" customFormat="1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</row>
    <row r="4140" spans="1:17" s="112" customFormat="1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</row>
    <row r="4141" spans="1:17" s="112" customFormat="1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</row>
    <row r="4142" spans="1:17" s="112" customFormat="1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</row>
    <row r="4143" spans="1:17" s="112" customFormat="1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</row>
    <row r="4144" spans="1:17" s="112" customFormat="1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</row>
    <row r="4145" spans="1:17" s="112" customFormat="1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</row>
    <row r="4146" spans="1:17" s="112" customFormat="1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</row>
    <row r="4147" spans="1:17" s="112" customFormat="1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</row>
    <row r="4148" spans="1:17" s="112" customFormat="1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</row>
    <row r="4149" spans="1:17" s="112" customFormat="1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</row>
    <row r="4150" spans="1:17" s="112" customFormat="1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</row>
    <row r="4151" spans="1:17" s="112" customFormat="1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</row>
    <row r="4152" spans="1:17" s="112" customFormat="1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</row>
    <row r="4153" spans="1:17" s="112" customFormat="1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</row>
    <row r="4154" spans="1:17" s="112" customFormat="1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</row>
    <row r="4155" spans="1:17" s="112" customFormat="1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</row>
    <row r="4156" spans="1:17" s="112" customFormat="1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</row>
    <row r="4157" spans="1:17" s="112" customFormat="1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</row>
    <row r="4158" spans="1:17" s="112" customFormat="1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</row>
    <row r="4159" spans="1:17" s="112" customFormat="1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</row>
    <row r="4160" spans="1:17" s="112" customFormat="1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</row>
    <row r="4161" spans="1:17" s="112" customFormat="1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</row>
    <row r="4162" spans="1:17" s="112" customFormat="1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</row>
    <row r="4163" spans="1:17" s="112" customFormat="1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</row>
    <row r="4164" spans="1:17" s="112" customFormat="1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</row>
    <row r="4165" spans="1:17" s="112" customFormat="1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</row>
    <row r="4166" spans="1:17" s="112" customFormat="1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</row>
    <row r="4167" spans="1:17" s="112" customFormat="1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</row>
    <row r="4168" spans="1:17" s="112" customFormat="1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</row>
    <row r="4169" spans="1:17" s="112" customFormat="1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</row>
    <row r="4170" spans="1:17" s="112" customFormat="1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</row>
    <row r="4171" spans="1:17" s="112" customFormat="1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</row>
    <row r="4172" spans="1:17" s="112" customFormat="1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</row>
    <row r="4173" spans="1:17" s="112" customFormat="1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</row>
    <row r="4174" spans="1:17" s="112" customFormat="1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</row>
    <row r="4175" spans="1:17" s="112" customFormat="1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</row>
    <row r="4176" spans="1:17" s="112" customFormat="1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</row>
    <row r="4177" spans="1:17" s="112" customFormat="1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</row>
    <row r="4178" spans="1:17" s="112" customFormat="1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</row>
    <row r="4179" spans="1:17" s="112" customFormat="1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</row>
    <row r="4180" spans="1:17" s="112" customFormat="1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</row>
    <row r="4181" spans="1:17" s="112" customFormat="1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</row>
    <row r="4182" spans="1:17" s="112" customFormat="1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</row>
    <row r="4183" spans="1:17" s="112" customFormat="1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</row>
    <row r="4184" spans="1:17" s="112" customFormat="1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</row>
    <row r="4185" spans="1:17" s="112" customFormat="1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</row>
    <row r="4186" spans="1:17" s="112" customFormat="1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</row>
    <row r="4187" spans="1:17" s="112" customFormat="1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</row>
    <row r="4188" spans="1:17" s="112" customFormat="1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</row>
    <row r="4189" spans="1:17" s="112" customFormat="1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</row>
    <row r="4190" spans="1:17" s="112" customFormat="1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</row>
    <row r="4191" spans="1:17" s="112" customFormat="1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</row>
    <row r="4192" spans="1:17" s="112" customFormat="1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</row>
    <row r="4193" spans="1:17" s="112" customFormat="1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</row>
    <row r="4194" spans="1:17" s="112" customFormat="1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</row>
    <row r="4195" spans="1:17" s="112" customFormat="1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</row>
    <row r="4196" spans="1:17" s="112" customFormat="1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</row>
    <row r="4197" spans="1:17" s="112" customFormat="1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</row>
    <row r="4198" spans="1:17" s="112" customFormat="1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</row>
    <row r="4199" spans="1:17" s="112" customFormat="1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</row>
    <row r="4200" spans="1:17" s="112" customFormat="1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</row>
    <row r="4201" spans="1:17" s="112" customFormat="1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</row>
    <row r="4202" spans="1:17" s="112" customFormat="1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</row>
    <row r="4203" spans="1:17" s="112" customFormat="1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</row>
    <row r="4204" spans="1:17" s="112" customFormat="1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</row>
    <row r="4205" spans="1:17" s="112" customFormat="1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</row>
    <row r="4206" spans="1:17" s="112" customFormat="1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</row>
    <row r="4207" spans="1:17" s="112" customFormat="1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</row>
    <row r="4208" spans="1:17" s="112" customFormat="1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</row>
    <row r="4209" spans="1:17" s="112" customFormat="1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</row>
    <row r="4210" spans="1:17" s="112" customFormat="1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</row>
    <row r="4211" spans="1:17" s="112" customFormat="1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</row>
    <row r="4212" spans="1:17" s="112" customFormat="1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</row>
    <row r="4213" spans="1:17" s="112" customFormat="1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</row>
    <row r="4214" spans="1:17" s="112" customFormat="1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</row>
    <row r="4215" spans="1:17" s="112" customFormat="1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</row>
    <row r="4216" spans="1:17" s="112" customFormat="1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</row>
    <row r="4217" spans="1:17" s="112" customFormat="1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</row>
    <row r="4218" spans="1:17" s="112" customFormat="1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</row>
    <row r="4219" spans="1:17" s="112" customFormat="1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</row>
    <row r="4220" spans="1:17" s="112" customFormat="1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</row>
    <row r="4221" spans="1:17" s="112" customFormat="1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</row>
    <row r="4222" spans="1:17" s="112" customFormat="1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</row>
    <row r="4223" spans="1:17" s="112" customFormat="1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</row>
    <row r="4224" spans="1:17" s="112" customFormat="1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</row>
    <row r="4225" spans="1:17" s="112" customFormat="1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</row>
    <row r="4226" spans="1:17" s="112" customFormat="1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</row>
    <row r="4227" spans="1:17" s="112" customFormat="1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</row>
    <row r="4228" spans="1:17" s="112" customFormat="1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</row>
    <row r="4229" spans="1:17" s="112" customFormat="1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</row>
    <row r="4230" spans="1:17" s="112" customFormat="1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</row>
    <row r="4231" spans="1:17" s="112" customFormat="1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</row>
    <row r="4232" spans="1:17" s="112" customFormat="1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</row>
    <row r="4233" spans="1:17" s="112" customFormat="1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</row>
    <row r="4234" spans="1:17" s="112" customFormat="1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</row>
    <row r="4235" spans="1:17" s="112" customFormat="1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</row>
    <row r="4236" spans="1:17" s="112" customFormat="1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</row>
    <row r="4237" spans="1:17" s="112" customFormat="1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</row>
    <row r="4238" spans="1:17" s="112" customFormat="1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</row>
    <row r="4239" spans="1:17" s="112" customFormat="1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</row>
    <row r="4240" spans="1:17" s="112" customFormat="1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</row>
    <row r="4241" spans="1:17" s="112" customFormat="1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</row>
    <row r="4242" spans="1:17" s="112" customFormat="1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</row>
    <row r="4243" spans="1:17" s="112" customFormat="1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</row>
    <row r="4244" spans="1:17" s="112" customFormat="1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</row>
    <row r="4245" spans="1:17" s="112" customFormat="1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</row>
    <row r="4246" spans="1:17" s="112" customFormat="1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</row>
    <row r="4247" spans="1:17" s="112" customFormat="1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</row>
    <row r="4248" spans="1:17" s="112" customFormat="1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</row>
    <row r="4249" spans="1:17" s="112" customFormat="1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</row>
    <row r="4250" spans="1:17" s="112" customFormat="1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</row>
    <row r="4251" spans="1:17" s="112" customFormat="1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</row>
    <row r="4252" spans="1:17" s="112" customFormat="1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</row>
    <row r="4253" spans="1:17" s="112" customFormat="1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</row>
    <row r="4254" spans="1:17" s="112" customFormat="1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</row>
    <row r="4255" spans="1:17" s="112" customFormat="1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</row>
    <row r="4256" spans="1:17" s="112" customFormat="1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</row>
    <row r="4257" spans="1:17" s="112" customFormat="1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</row>
    <row r="4258" spans="1:17" s="112" customFormat="1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</row>
    <row r="4259" spans="1:17" s="112" customFormat="1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</row>
    <row r="4260" spans="1:17" s="112" customFormat="1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</row>
    <row r="4261" spans="1:17" s="112" customFormat="1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</row>
    <row r="4262" spans="1:17" s="112" customFormat="1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</row>
    <row r="4263" spans="1:17" s="112" customFormat="1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</row>
    <row r="4264" spans="1:17" s="112" customFormat="1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</row>
    <row r="4265" spans="1:17" s="112" customFormat="1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</row>
    <row r="4266" spans="1:17" s="112" customFormat="1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</row>
    <row r="4267" spans="1:17" s="112" customFormat="1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</row>
    <row r="4268" spans="1:17" s="112" customFormat="1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</row>
    <row r="4269" spans="1:17" s="112" customFormat="1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</row>
    <row r="4270" spans="1:17" s="112" customFormat="1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</row>
    <row r="4271" spans="1:17" s="112" customFormat="1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</row>
    <row r="4272" spans="1:17" s="112" customFormat="1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</row>
    <row r="4273" spans="1:17" s="112" customFormat="1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</row>
    <row r="4274" spans="1:17" s="112" customFormat="1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</row>
    <row r="4275" spans="1:17" s="112" customFormat="1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</row>
    <row r="4276" spans="1:17" s="112" customFormat="1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</row>
    <row r="4277" spans="1:17" s="112" customFormat="1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</row>
    <row r="4278" spans="1:17" s="112" customFormat="1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</row>
    <row r="4279" spans="1:17" s="112" customFormat="1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</row>
    <row r="4280" spans="1:17" s="112" customFormat="1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</row>
    <row r="4281" spans="1:17" s="112" customFormat="1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</row>
    <row r="4282" spans="1:17" s="112" customFormat="1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</row>
    <row r="4283" spans="1:17" s="112" customFormat="1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</row>
    <row r="4284" spans="1:17" s="112" customFormat="1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</row>
    <row r="4285" spans="1:17" s="112" customFormat="1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</row>
    <row r="4286" spans="1:17" s="112" customFormat="1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</row>
    <row r="4287" spans="1:17" s="112" customFormat="1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</row>
    <row r="4288" spans="1:17" s="112" customFormat="1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</row>
    <row r="4289" spans="1:17" s="112" customFormat="1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</row>
    <row r="4290" spans="1:17" s="112" customFormat="1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</row>
    <row r="4291" spans="1:17" s="112" customFormat="1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</row>
    <row r="4292" spans="1:17" s="112" customFormat="1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</row>
    <row r="4293" spans="1:17" s="112" customFormat="1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</row>
    <row r="4294" spans="1:17" s="112" customFormat="1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</row>
    <row r="4295" spans="1:17" s="112" customFormat="1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</row>
    <row r="4296" spans="1:17" s="112" customFormat="1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</row>
    <row r="4297" spans="1:17" s="112" customFormat="1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</row>
    <row r="4298" spans="1:17" s="112" customFormat="1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</row>
    <row r="4299" spans="1:17" s="112" customFormat="1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</row>
    <row r="4300" spans="1:17" s="112" customFormat="1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</row>
    <row r="4301" spans="1:17" s="112" customFormat="1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</row>
    <row r="4302" spans="1:17" s="112" customFormat="1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</row>
    <row r="4303" spans="1:17" s="112" customFormat="1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</row>
    <row r="4304" spans="1:17" s="112" customFormat="1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</row>
    <row r="4305" spans="1:17" s="112" customFormat="1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</row>
    <row r="4306" spans="1:17" s="112" customFormat="1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</row>
    <row r="4307" spans="1:17" s="112" customFormat="1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</row>
    <row r="4308" spans="1:17" s="112" customFormat="1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</row>
    <row r="4309" spans="1:17" s="112" customFormat="1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</row>
    <row r="4310" spans="1:17" s="112" customFormat="1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</row>
    <row r="4311" spans="1:17" s="112" customFormat="1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</row>
    <row r="4312" spans="1:17" s="112" customFormat="1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</row>
    <row r="4313" spans="1:17" s="112" customFormat="1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</row>
    <row r="4314" spans="1:17" s="112" customFormat="1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</row>
    <row r="4315" spans="1:17" s="112" customFormat="1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</row>
    <row r="4316" spans="1:17" s="112" customFormat="1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</row>
    <row r="4317" spans="1:17" s="112" customFormat="1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</row>
    <row r="4318" spans="1:17" s="112" customFormat="1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</row>
    <row r="4319" spans="1:17" s="112" customFormat="1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</row>
    <row r="4320" spans="1:17" s="112" customFormat="1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</row>
    <row r="4321" spans="1:17" s="112" customFormat="1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</row>
    <row r="4322" spans="1:17" s="112" customFormat="1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</row>
    <row r="4323" spans="1:17" s="112" customFormat="1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</row>
    <row r="4324" spans="1:17" s="112" customFormat="1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</row>
    <row r="4325" spans="1:17" s="112" customFormat="1" ht="12.7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</row>
    <row r="4326" spans="1:17" s="112" customFormat="1" ht="12.7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</row>
    <row r="4327" spans="1:17" s="112" customFormat="1" ht="12.7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</row>
    <row r="4328" spans="1:17" s="112" customFormat="1" ht="12.7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</row>
    <row r="4329" spans="1:17" s="112" customFormat="1" ht="12.7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</row>
    <row r="4330" spans="1:17" s="112" customFormat="1" ht="12.7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</row>
    <row r="4331" spans="1:17" s="112" customFormat="1" ht="12.7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</row>
    <row r="4332" spans="1:17" s="112" customFormat="1" ht="12.7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</row>
    <row r="4333" spans="1:17" s="112" customFormat="1" ht="12.7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</row>
    <row r="4334" spans="1:17" s="112" customFormat="1" ht="12.7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</row>
    <row r="4335" spans="1:17" s="112" customFormat="1" ht="12.7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</row>
    <row r="4336" spans="1:17" s="112" customFormat="1" ht="12.7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</row>
    <row r="4337" spans="1:17" s="112" customFormat="1" ht="12.7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</row>
    <row r="4338" spans="1:17" s="112" customFormat="1" ht="12.7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</row>
  </sheetData>
  <mergeCells count="36">
    <mergeCell ref="B490:D490"/>
    <mergeCell ref="B484:D484"/>
    <mergeCell ref="B485:D485"/>
    <mergeCell ref="B487:D487"/>
    <mergeCell ref="B486:D486"/>
    <mergeCell ref="B483:D483"/>
    <mergeCell ref="B488:D488"/>
    <mergeCell ref="B489:C489"/>
    <mergeCell ref="B31:B32"/>
    <mergeCell ref="N4:N7"/>
    <mergeCell ref="B482:C482"/>
    <mergeCell ref="I5:I7"/>
    <mergeCell ref="C4:C7"/>
    <mergeCell ref="K4:K7"/>
    <mergeCell ref="L4:L7"/>
    <mergeCell ref="M4:M7"/>
    <mergeCell ref="A491:C492"/>
    <mergeCell ref="B4:B7"/>
    <mergeCell ref="A4:A7"/>
    <mergeCell ref="J5:J7"/>
    <mergeCell ref="I4:J4"/>
    <mergeCell ref="H4:H7"/>
    <mergeCell ref="A13:A24"/>
    <mergeCell ref="A351:A354"/>
    <mergeCell ref="G5:G7"/>
    <mergeCell ref="B9:B10"/>
    <mergeCell ref="P493:Q493"/>
    <mergeCell ref="P495:Q495"/>
    <mergeCell ref="O1:Q1"/>
    <mergeCell ref="V2:Z2"/>
    <mergeCell ref="B2:Q2"/>
    <mergeCell ref="C3:Q3"/>
    <mergeCell ref="E5:E7"/>
    <mergeCell ref="D5:D7"/>
    <mergeCell ref="F5:F7"/>
    <mergeCell ref="O4:Q6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E1" sqref="E1:G1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30.00390625" style="0" customWidth="1"/>
    <col min="5" max="5" width="16.625" style="0" customWidth="1"/>
    <col min="6" max="6" width="10.75390625" style="0" customWidth="1"/>
    <col min="7" max="7" width="14.75390625" style="0" customWidth="1"/>
  </cols>
  <sheetData>
    <row r="1" spans="5:7" ht="40.5" customHeight="1">
      <c r="E1" s="549" t="s">
        <v>782</v>
      </c>
      <c r="F1" s="550"/>
      <c r="G1" s="550"/>
    </row>
    <row r="2" ht="3" customHeight="1" hidden="1"/>
    <row r="3" ht="12.75" hidden="1"/>
    <row r="4" ht="12.75" hidden="1"/>
    <row r="5" spans="1:7" ht="31.5" customHeight="1">
      <c r="A5" s="563" t="s">
        <v>496</v>
      </c>
      <c r="B5" s="563"/>
      <c r="C5" s="563"/>
      <c r="D5" s="563"/>
      <c r="E5" s="563"/>
      <c r="F5" s="563"/>
      <c r="G5" s="563"/>
    </row>
    <row r="6" ht="13.5" thickBot="1"/>
    <row r="7" spans="1:7" ht="13.5" thickBot="1">
      <c r="A7" s="558" t="s">
        <v>2</v>
      </c>
      <c r="B7" s="559"/>
      <c r="C7" s="560"/>
      <c r="D7" s="554" t="s">
        <v>497</v>
      </c>
      <c r="E7" s="561" t="s">
        <v>498</v>
      </c>
      <c r="F7" s="556" t="s">
        <v>499</v>
      </c>
      <c r="G7" s="552" t="s">
        <v>500</v>
      </c>
    </row>
    <row r="8" spans="1:7" ht="90.75" customHeight="1">
      <c r="A8" s="235" t="s">
        <v>501</v>
      </c>
      <c r="B8" s="235" t="s">
        <v>21</v>
      </c>
      <c r="C8" s="236" t="s">
        <v>22</v>
      </c>
      <c r="D8" s="555"/>
      <c r="E8" s="562"/>
      <c r="F8" s="557"/>
      <c r="G8" s="553"/>
    </row>
    <row r="9" spans="1:7" ht="12.75">
      <c r="A9" s="237">
        <v>1</v>
      </c>
      <c r="B9" s="238">
        <v>2</v>
      </c>
      <c r="C9" s="238">
        <v>3</v>
      </c>
      <c r="D9" s="239">
        <v>4</v>
      </c>
      <c r="E9" s="240">
        <v>5</v>
      </c>
      <c r="F9" s="240">
        <v>6</v>
      </c>
      <c r="G9" s="240">
        <v>7</v>
      </c>
    </row>
    <row r="10" spans="1:8" ht="17.25" customHeight="1">
      <c r="A10" s="241" t="s">
        <v>502</v>
      </c>
      <c r="B10" s="241"/>
      <c r="C10" s="241"/>
      <c r="D10" s="241" t="s">
        <v>503</v>
      </c>
      <c r="E10" s="244">
        <v>0</v>
      </c>
      <c r="F10" s="244">
        <v>0</v>
      </c>
      <c r="G10" s="244">
        <f>G11+G12</f>
        <v>138608</v>
      </c>
      <c r="H10" t="s">
        <v>504</v>
      </c>
    </row>
    <row r="11" spans="1:7" ht="12.75">
      <c r="A11" s="175" t="s">
        <v>25</v>
      </c>
      <c r="B11" s="175" t="s">
        <v>505</v>
      </c>
      <c r="C11" s="175" t="s">
        <v>506</v>
      </c>
      <c r="D11" s="245" t="s">
        <v>507</v>
      </c>
      <c r="E11" s="179">
        <v>0</v>
      </c>
      <c r="F11" s="179">
        <v>0</v>
      </c>
      <c r="G11" s="179">
        <v>608</v>
      </c>
    </row>
    <row r="12" spans="1:7" ht="25.5">
      <c r="A12" s="245">
        <v>700</v>
      </c>
      <c r="B12" s="245">
        <v>70005</v>
      </c>
      <c r="C12" s="245">
        <v>2350</v>
      </c>
      <c r="D12" s="246" t="s">
        <v>276</v>
      </c>
      <c r="E12" s="179">
        <v>0</v>
      </c>
      <c r="F12" s="179">
        <v>0</v>
      </c>
      <c r="G12" s="179">
        <v>138000</v>
      </c>
    </row>
    <row r="13" spans="1:7" ht="12.75">
      <c r="A13" s="241" t="s">
        <v>508</v>
      </c>
      <c r="B13" s="548" t="s">
        <v>509</v>
      </c>
      <c r="C13" s="548"/>
      <c r="D13" s="548"/>
      <c r="E13" s="548"/>
      <c r="F13" s="548"/>
      <c r="G13" s="241"/>
    </row>
    <row r="14" spans="1:7" ht="38.25">
      <c r="A14" s="186" t="s">
        <v>25</v>
      </c>
      <c r="B14" s="186" t="s">
        <v>28</v>
      </c>
      <c r="C14" s="186" t="s">
        <v>510</v>
      </c>
      <c r="D14" s="181" t="s">
        <v>27</v>
      </c>
      <c r="E14" s="178">
        <f>'[1]Z1'!V13</f>
        <v>30000</v>
      </c>
      <c r="F14" s="178">
        <f>F15</f>
        <v>30000</v>
      </c>
      <c r="G14" s="179">
        <v>0</v>
      </c>
    </row>
    <row r="15" spans="1:7" ht="12.75">
      <c r="A15" s="184"/>
      <c r="B15" s="184"/>
      <c r="C15" s="184" t="s">
        <v>237</v>
      </c>
      <c r="D15" s="75" t="s">
        <v>297</v>
      </c>
      <c r="E15" s="37">
        <v>0</v>
      </c>
      <c r="F15" s="37">
        <f>'[1]Z 2'!O28</f>
        <v>30000</v>
      </c>
      <c r="G15" s="172">
        <v>0</v>
      </c>
    </row>
    <row r="16" spans="1:7" ht="12.75" hidden="1">
      <c r="A16" s="168" t="s">
        <v>25</v>
      </c>
      <c r="B16" s="168" t="s">
        <v>215</v>
      </c>
      <c r="C16" s="168" t="s">
        <v>511</v>
      </c>
      <c r="D16" s="81" t="s">
        <v>512</v>
      </c>
      <c r="E16" s="81" t="e">
        <f>#REF!</f>
        <v>#REF!</v>
      </c>
      <c r="F16" s="81">
        <f>F17+F18+F19+F20+F22+F21+F23+F24+F25+F26+F27+F28</f>
        <v>0</v>
      </c>
      <c r="G16" s="169">
        <v>0</v>
      </c>
    </row>
    <row r="17" spans="1:7" ht="25.5" hidden="1">
      <c r="A17" s="184"/>
      <c r="B17" s="184"/>
      <c r="C17" s="184" t="s">
        <v>221</v>
      </c>
      <c r="D17" s="75" t="s">
        <v>258</v>
      </c>
      <c r="E17" s="37">
        <v>0</v>
      </c>
      <c r="F17" s="37">
        <v>0</v>
      </c>
      <c r="G17" s="172">
        <v>0</v>
      </c>
    </row>
    <row r="18" spans="1:7" ht="25.5" hidden="1">
      <c r="A18" s="184"/>
      <c r="B18" s="184"/>
      <c r="C18" s="184" t="s">
        <v>223</v>
      </c>
      <c r="D18" s="75" t="s">
        <v>224</v>
      </c>
      <c r="E18" s="37">
        <v>0</v>
      </c>
      <c r="F18" s="37">
        <v>0</v>
      </c>
      <c r="G18" s="172">
        <v>0</v>
      </c>
    </row>
    <row r="19" spans="1:7" ht="12.75" hidden="1">
      <c r="A19" s="184"/>
      <c r="B19" s="184"/>
      <c r="C19" s="184" t="s">
        <v>225</v>
      </c>
      <c r="D19" s="37" t="s">
        <v>513</v>
      </c>
      <c r="E19" s="37">
        <v>0</v>
      </c>
      <c r="F19" s="37">
        <v>0</v>
      </c>
      <c r="G19" s="172">
        <v>0</v>
      </c>
    </row>
    <row r="20" spans="1:7" ht="12.75" hidden="1">
      <c r="A20" s="184"/>
      <c r="B20" s="184"/>
      <c r="C20" s="247" t="s">
        <v>259</v>
      </c>
      <c r="D20" s="75" t="s">
        <v>514</v>
      </c>
      <c r="E20" s="37">
        <v>0</v>
      </c>
      <c r="F20" s="37">
        <v>0</v>
      </c>
      <c r="G20" s="172">
        <v>0</v>
      </c>
    </row>
    <row r="21" spans="1:7" ht="12.75" hidden="1">
      <c r="A21" s="184"/>
      <c r="B21" s="184"/>
      <c r="C21" s="247" t="s">
        <v>229</v>
      </c>
      <c r="D21" s="75" t="s">
        <v>230</v>
      </c>
      <c r="E21" s="37">
        <v>0</v>
      </c>
      <c r="F21" s="37">
        <v>0</v>
      </c>
      <c r="G21" s="172">
        <v>0</v>
      </c>
    </row>
    <row r="22" spans="1:7" ht="12.75" hidden="1">
      <c r="A22" s="184"/>
      <c r="B22" s="184"/>
      <c r="C22" s="35">
        <v>4210</v>
      </c>
      <c r="D22" s="184" t="s">
        <v>232</v>
      </c>
      <c r="E22" s="37">
        <v>0</v>
      </c>
      <c r="F22" s="37">
        <v>0</v>
      </c>
      <c r="G22" s="172">
        <v>0</v>
      </c>
    </row>
    <row r="23" spans="1:7" ht="12.75" hidden="1">
      <c r="A23" s="184"/>
      <c r="B23" s="184"/>
      <c r="C23" s="35">
        <v>4260</v>
      </c>
      <c r="D23" s="184" t="s">
        <v>291</v>
      </c>
      <c r="E23" s="37">
        <v>0</v>
      </c>
      <c r="F23" s="37">
        <v>0</v>
      </c>
      <c r="G23" s="172">
        <v>0</v>
      </c>
    </row>
    <row r="24" spans="1:7" ht="12.75" hidden="1">
      <c r="A24" s="184"/>
      <c r="B24" s="184"/>
      <c r="C24" s="35">
        <v>4270</v>
      </c>
      <c r="D24" s="184" t="s">
        <v>278</v>
      </c>
      <c r="E24" s="37">
        <v>0</v>
      </c>
      <c r="F24" s="37">
        <v>0</v>
      </c>
      <c r="G24" s="172">
        <v>0</v>
      </c>
    </row>
    <row r="25" spans="1:7" ht="12.75" hidden="1">
      <c r="A25" s="184"/>
      <c r="B25" s="184"/>
      <c r="C25" s="35">
        <v>4300</v>
      </c>
      <c r="D25" s="184" t="s">
        <v>297</v>
      </c>
      <c r="E25" s="37">
        <v>0</v>
      </c>
      <c r="F25" s="37">
        <v>0</v>
      </c>
      <c r="G25" s="172">
        <v>0</v>
      </c>
    </row>
    <row r="26" spans="1:7" ht="12.75" hidden="1">
      <c r="A26" s="184"/>
      <c r="B26" s="184"/>
      <c r="C26" s="35">
        <v>4410</v>
      </c>
      <c r="D26" s="184" t="s">
        <v>240</v>
      </c>
      <c r="E26" s="37">
        <v>0</v>
      </c>
      <c r="F26" s="37">
        <v>0</v>
      </c>
      <c r="G26" s="172">
        <v>0</v>
      </c>
    </row>
    <row r="27" spans="1:7" ht="12.75" hidden="1">
      <c r="A27" s="184"/>
      <c r="B27" s="184"/>
      <c r="C27" s="35">
        <v>4430</v>
      </c>
      <c r="D27" s="184" t="s">
        <v>242</v>
      </c>
      <c r="E27" s="37">
        <v>0</v>
      </c>
      <c r="F27" s="37">
        <v>0</v>
      </c>
      <c r="G27" s="172">
        <v>0</v>
      </c>
    </row>
    <row r="28" spans="1:7" ht="12.75" hidden="1">
      <c r="A28" s="184"/>
      <c r="B28" s="184"/>
      <c r="C28" s="35">
        <v>4440</v>
      </c>
      <c r="D28" s="184" t="s">
        <v>244</v>
      </c>
      <c r="E28" s="37">
        <v>0</v>
      </c>
      <c r="F28" s="37">
        <v>0</v>
      </c>
      <c r="G28" s="172">
        <v>0</v>
      </c>
    </row>
    <row r="29" spans="1:7" ht="15.75" customHeight="1" hidden="1">
      <c r="A29" s="168" t="s">
        <v>36</v>
      </c>
      <c r="B29" s="168" t="s">
        <v>252</v>
      </c>
      <c r="C29" s="168" t="s">
        <v>511</v>
      </c>
      <c r="D29" s="81" t="s">
        <v>253</v>
      </c>
      <c r="E29" s="81">
        <v>0</v>
      </c>
      <c r="F29" s="81">
        <f>F30</f>
        <v>0</v>
      </c>
      <c r="G29" s="169">
        <v>0</v>
      </c>
    </row>
    <row r="30" spans="1:7" ht="15" customHeight="1" hidden="1">
      <c r="A30" s="184"/>
      <c r="B30" s="184"/>
      <c r="C30" s="184"/>
      <c r="D30" s="37" t="s">
        <v>515</v>
      </c>
      <c r="E30" s="37"/>
      <c r="F30" s="37">
        <v>0</v>
      </c>
      <c r="G30" s="172">
        <v>0</v>
      </c>
    </row>
    <row r="31" spans="1:7" ht="25.5">
      <c r="A31" s="186" t="s">
        <v>65</v>
      </c>
      <c r="B31" s="186" t="s">
        <v>67</v>
      </c>
      <c r="C31" s="186" t="s">
        <v>510</v>
      </c>
      <c r="D31" s="181" t="s">
        <v>276</v>
      </c>
      <c r="E31" s="178">
        <f>'[1]Z1'!V40</f>
        <v>62000</v>
      </c>
      <c r="F31" s="178">
        <f>F32+F33+F34+F35+F37+F38+F36</f>
        <v>62000</v>
      </c>
      <c r="G31" s="178">
        <v>0</v>
      </c>
    </row>
    <row r="32" spans="1:7" ht="12.75">
      <c r="A32" s="168"/>
      <c r="B32" s="168"/>
      <c r="C32" s="116" t="s">
        <v>261</v>
      </c>
      <c r="D32" s="42" t="s">
        <v>262</v>
      </c>
      <c r="E32" s="49">
        <v>0</v>
      </c>
      <c r="F32" s="49">
        <f>'[1]Z 2'!O61</f>
        <v>800</v>
      </c>
      <c r="G32" s="81">
        <v>0</v>
      </c>
    </row>
    <row r="33" spans="1:7" ht="12.75">
      <c r="A33" s="116"/>
      <c r="B33" s="116"/>
      <c r="C33" s="116" t="s">
        <v>233</v>
      </c>
      <c r="D33" s="42" t="s">
        <v>291</v>
      </c>
      <c r="E33" s="49">
        <v>0</v>
      </c>
      <c r="F33" s="49">
        <f>'[1]Z 2'!O62</f>
        <v>3930</v>
      </c>
      <c r="G33" s="49">
        <v>0</v>
      </c>
    </row>
    <row r="34" spans="1:7" ht="12.75">
      <c r="A34" s="168"/>
      <c r="B34" s="168"/>
      <c r="C34" s="116" t="s">
        <v>237</v>
      </c>
      <c r="D34" s="42" t="s">
        <v>297</v>
      </c>
      <c r="E34" s="49">
        <v>0</v>
      </c>
      <c r="F34" s="49">
        <f>'[1]Z 2'!O64</f>
        <v>41402</v>
      </c>
      <c r="G34" s="170">
        <v>0</v>
      </c>
    </row>
    <row r="35" spans="1:7" ht="12.75">
      <c r="A35" s="168"/>
      <c r="B35" s="168"/>
      <c r="C35" s="116" t="s">
        <v>266</v>
      </c>
      <c r="D35" s="42" t="s">
        <v>267</v>
      </c>
      <c r="E35" s="49">
        <v>0</v>
      </c>
      <c r="F35" s="49">
        <f>'[1]Z 2'!O66</f>
        <v>11728</v>
      </c>
      <c r="G35" s="170">
        <v>0</v>
      </c>
    </row>
    <row r="36" spans="1:7" ht="12.75">
      <c r="A36" s="168"/>
      <c r="B36" s="168"/>
      <c r="C36" s="116" t="s">
        <v>279</v>
      </c>
      <c r="D36" s="42" t="s">
        <v>516</v>
      </c>
      <c r="E36" s="49">
        <v>0</v>
      </c>
      <c r="F36" s="49">
        <f>'[1]Z 2'!O67</f>
        <v>4140</v>
      </c>
      <c r="G36" s="170">
        <v>0</v>
      </c>
    </row>
    <row r="37" spans="1:7" ht="12.75" hidden="1">
      <c r="A37" s="168"/>
      <c r="B37" s="168"/>
      <c r="C37" s="116" t="s">
        <v>517</v>
      </c>
      <c r="D37" s="42" t="s">
        <v>52</v>
      </c>
      <c r="E37" s="49">
        <v>0</v>
      </c>
      <c r="F37" s="49">
        <v>0</v>
      </c>
      <c r="G37" s="170">
        <v>0</v>
      </c>
    </row>
    <row r="38" spans="1:7" ht="12.75" hidden="1">
      <c r="A38" s="168"/>
      <c r="B38" s="168"/>
      <c r="C38" s="116" t="s">
        <v>518</v>
      </c>
      <c r="D38" s="42" t="s">
        <v>519</v>
      </c>
      <c r="E38" s="49">
        <v>0</v>
      </c>
      <c r="F38" s="49">
        <v>0</v>
      </c>
      <c r="G38" s="170">
        <v>0</v>
      </c>
    </row>
    <row r="39" spans="1:7" ht="38.25">
      <c r="A39" s="186" t="s">
        <v>283</v>
      </c>
      <c r="B39" s="186" t="s">
        <v>285</v>
      </c>
      <c r="C39" s="186" t="s">
        <v>510</v>
      </c>
      <c r="D39" s="181" t="s">
        <v>72</v>
      </c>
      <c r="E39" s="178">
        <f>'[1]Z1'!V43</f>
        <v>40000</v>
      </c>
      <c r="F39" s="178">
        <f>F40</f>
        <v>40000</v>
      </c>
      <c r="G39" s="179">
        <v>0</v>
      </c>
    </row>
    <row r="40" spans="1:7" ht="12.75">
      <c r="A40" s="168"/>
      <c r="B40" s="168"/>
      <c r="C40" s="116" t="s">
        <v>237</v>
      </c>
      <c r="D40" s="42" t="s">
        <v>297</v>
      </c>
      <c r="E40" s="49">
        <v>0</v>
      </c>
      <c r="F40" s="49">
        <f>'[1]Z 2'!O71</f>
        <v>40000</v>
      </c>
      <c r="G40" s="169">
        <v>0</v>
      </c>
    </row>
    <row r="41" spans="1:7" ht="25.5">
      <c r="A41" s="186" t="s">
        <v>283</v>
      </c>
      <c r="B41" s="186" t="s">
        <v>286</v>
      </c>
      <c r="C41" s="186" t="s">
        <v>510</v>
      </c>
      <c r="D41" s="181" t="s">
        <v>73</v>
      </c>
      <c r="E41" s="178">
        <f>'[1]Z1'!V44</f>
        <v>25000</v>
      </c>
      <c r="F41" s="178">
        <f>F42</f>
        <v>25000</v>
      </c>
      <c r="G41" s="179">
        <v>0</v>
      </c>
    </row>
    <row r="42" spans="1:7" ht="12.75">
      <c r="A42" s="116"/>
      <c r="B42" s="116"/>
      <c r="C42" s="116" t="s">
        <v>237</v>
      </c>
      <c r="D42" s="42" t="s">
        <v>297</v>
      </c>
      <c r="E42" s="49">
        <v>0</v>
      </c>
      <c r="F42" s="49">
        <f>'[1]Z 2'!O73</f>
        <v>25000</v>
      </c>
      <c r="G42" s="170">
        <v>0</v>
      </c>
    </row>
    <row r="43" spans="1:7" ht="12.75">
      <c r="A43" s="186" t="s">
        <v>283</v>
      </c>
      <c r="B43" s="186" t="s">
        <v>288</v>
      </c>
      <c r="C43" s="186" t="s">
        <v>510</v>
      </c>
      <c r="D43" s="178" t="s">
        <v>75</v>
      </c>
      <c r="E43" s="178">
        <f>'[1]Z1'!V47</f>
        <v>181547</v>
      </c>
      <c r="F43" s="178">
        <f>F44+F46+F47+F49+F48+F50+F51+F52+F53+F54+F45</f>
        <v>181547</v>
      </c>
      <c r="G43" s="179">
        <v>0</v>
      </c>
    </row>
    <row r="44" spans="1:7" ht="25.5">
      <c r="A44" s="184"/>
      <c r="B44" s="168"/>
      <c r="C44" s="116" t="s">
        <v>221</v>
      </c>
      <c r="D44" s="42" t="s">
        <v>258</v>
      </c>
      <c r="E44" s="49">
        <v>0</v>
      </c>
      <c r="F44" s="49">
        <f>'[1]Z 2'!O75</f>
        <v>49200</v>
      </c>
      <c r="G44" s="170">
        <v>0</v>
      </c>
    </row>
    <row r="45" spans="1:7" ht="25.5">
      <c r="A45" s="184"/>
      <c r="B45" s="168"/>
      <c r="C45" s="116" t="s">
        <v>223</v>
      </c>
      <c r="D45" s="75" t="s">
        <v>224</v>
      </c>
      <c r="E45" s="49">
        <v>0</v>
      </c>
      <c r="F45" s="49">
        <f>'[1]Z 2'!O76</f>
        <v>78200</v>
      </c>
      <c r="G45" s="170">
        <v>0</v>
      </c>
    </row>
    <row r="46" spans="1:7" ht="12.75">
      <c r="A46" s="184"/>
      <c r="B46" s="168"/>
      <c r="C46" s="116" t="s">
        <v>225</v>
      </c>
      <c r="D46" s="49" t="s">
        <v>513</v>
      </c>
      <c r="E46" s="49">
        <v>0</v>
      </c>
      <c r="F46" s="49">
        <f>'[1]Z 2'!O77</f>
        <v>8864</v>
      </c>
      <c r="G46" s="170">
        <v>0</v>
      </c>
    </row>
    <row r="47" spans="1:7" ht="12.75">
      <c r="A47" s="184"/>
      <c r="B47" s="168"/>
      <c r="C47" s="248" t="s">
        <v>259</v>
      </c>
      <c r="D47" s="42" t="s">
        <v>316</v>
      </c>
      <c r="E47" s="49">
        <v>0</v>
      </c>
      <c r="F47" s="49">
        <f>'[1]Z 2'!O78</f>
        <v>24786</v>
      </c>
      <c r="G47" s="170">
        <v>0</v>
      </c>
    </row>
    <row r="48" spans="1:7" ht="13.5" customHeight="1">
      <c r="A48" s="184"/>
      <c r="B48" s="168"/>
      <c r="C48" s="248" t="s">
        <v>229</v>
      </c>
      <c r="D48" s="42" t="s">
        <v>230</v>
      </c>
      <c r="E48" s="49">
        <v>0</v>
      </c>
      <c r="F48" s="49">
        <f>'[1]Z 2'!O79</f>
        <v>3338</v>
      </c>
      <c r="G48" s="170">
        <v>0</v>
      </c>
    </row>
    <row r="49" spans="1:7" ht="15" customHeight="1">
      <c r="A49" s="184"/>
      <c r="B49" s="168"/>
      <c r="C49" s="116" t="s">
        <v>231</v>
      </c>
      <c r="D49" s="49" t="s">
        <v>232</v>
      </c>
      <c r="E49" s="49">
        <v>0</v>
      </c>
      <c r="F49" s="49">
        <f>'[1]Z 2'!O80</f>
        <v>3000</v>
      </c>
      <c r="G49" s="170">
        <v>0</v>
      </c>
    </row>
    <row r="50" spans="1:7" ht="15" customHeight="1">
      <c r="A50" s="184"/>
      <c r="B50" s="168"/>
      <c r="C50" s="116" t="s">
        <v>233</v>
      </c>
      <c r="D50" s="42" t="s">
        <v>291</v>
      </c>
      <c r="E50" s="49">
        <v>0</v>
      </c>
      <c r="F50" s="49">
        <f>'[1]Z 2'!O81</f>
        <v>4277</v>
      </c>
      <c r="G50" s="170">
        <v>0</v>
      </c>
    </row>
    <row r="51" spans="1:7" ht="15" customHeight="1">
      <c r="A51" s="184"/>
      <c r="B51" s="168"/>
      <c r="C51" s="116" t="s">
        <v>237</v>
      </c>
      <c r="D51" s="49" t="s">
        <v>297</v>
      </c>
      <c r="E51" s="49">
        <v>0</v>
      </c>
      <c r="F51" s="49">
        <f>'[1]Z 2'!O82</f>
        <v>4125</v>
      </c>
      <c r="G51" s="170">
        <v>0</v>
      </c>
    </row>
    <row r="52" spans="1:7" ht="15" customHeight="1">
      <c r="A52" s="184"/>
      <c r="B52" s="168"/>
      <c r="C52" s="116" t="s">
        <v>239</v>
      </c>
      <c r="D52" s="49" t="s">
        <v>240</v>
      </c>
      <c r="E52" s="49">
        <v>0</v>
      </c>
      <c r="F52" s="49">
        <f>'[1]Z 2'!O83</f>
        <v>500</v>
      </c>
      <c r="G52" s="170">
        <v>0</v>
      </c>
    </row>
    <row r="53" spans="1:7" ht="15" customHeight="1">
      <c r="A53" s="184"/>
      <c r="B53" s="168"/>
      <c r="C53" s="116" t="s">
        <v>241</v>
      </c>
      <c r="D53" s="49" t="s">
        <v>321</v>
      </c>
      <c r="E53" s="49">
        <v>0</v>
      </c>
      <c r="F53" s="49">
        <f>'[1]Z 2'!O84</f>
        <v>2200</v>
      </c>
      <c r="G53" s="170">
        <v>0</v>
      </c>
    </row>
    <row r="54" spans="1:7" ht="15" customHeight="1">
      <c r="A54" s="184"/>
      <c r="B54" s="168"/>
      <c r="C54" s="116" t="s">
        <v>243</v>
      </c>
      <c r="D54" s="49" t="s">
        <v>244</v>
      </c>
      <c r="E54" s="49">
        <v>0</v>
      </c>
      <c r="F54" s="49">
        <f>'[1]Z 2'!O85</f>
        <v>3057</v>
      </c>
      <c r="G54" s="170">
        <v>0</v>
      </c>
    </row>
    <row r="55" spans="1:7" ht="12.75">
      <c r="A55" s="186" t="s">
        <v>292</v>
      </c>
      <c r="B55" s="186" t="s">
        <v>294</v>
      </c>
      <c r="C55" s="186" t="s">
        <v>510</v>
      </c>
      <c r="D55" s="178" t="s">
        <v>295</v>
      </c>
      <c r="E55" s="178">
        <f>'[1]Z1'!V49</f>
        <v>102748</v>
      </c>
      <c r="F55" s="178">
        <f>F56+F57+F58+F59+F60+F61+F62+F63+F64</f>
        <v>102748</v>
      </c>
      <c r="G55" s="179">
        <v>0</v>
      </c>
    </row>
    <row r="56" spans="1:7" ht="25.5">
      <c r="A56" s="184"/>
      <c r="B56" s="168"/>
      <c r="C56" s="116" t="s">
        <v>221</v>
      </c>
      <c r="D56" s="42" t="s">
        <v>258</v>
      </c>
      <c r="E56" s="49">
        <v>0</v>
      </c>
      <c r="F56" s="49">
        <f>'[1]Z 2'!O88</f>
        <v>70400</v>
      </c>
      <c r="G56" s="170">
        <v>0</v>
      </c>
    </row>
    <row r="57" spans="1:7" ht="12.75">
      <c r="A57" s="184"/>
      <c r="B57" s="168"/>
      <c r="C57" s="116" t="s">
        <v>225</v>
      </c>
      <c r="D57" s="49" t="s">
        <v>513</v>
      </c>
      <c r="E57" s="49">
        <v>0</v>
      </c>
      <c r="F57" s="49">
        <f>'[1]Z 2'!O89</f>
        <v>4712</v>
      </c>
      <c r="G57" s="170">
        <v>0</v>
      </c>
    </row>
    <row r="58" spans="1:7" ht="12.75">
      <c r="A58" s="184"/>
      <c r="B58" s="168"/>
      <c r="C58" s="248" t="s">
        <v>259</v>
      </c>
      <c r="D58" s="42" t="s">
        <v>316</v>
      </c>
      <c r="E58" s="49">
        <v>0</v>
      </c>
      <c r="F58" s="49">
        <f>'[1]Z 2'!O90</f>
        <v>12942</v>
      </c>
      <c r="G58" s="170">
        <v>0</v>
      </c>
    </row>
    <row r="59" spans="1:7" ht="12.75">
      <c r="A59" s="184"/>
      <c r="B59" s="168"/>
      <c r="C59" s="248" t="s">
        <v>229</v>
      </c>
      <c r="D59" s="42" t="s">
        <v>230</v>
      </c>
      <c r="E59" s="49">
        <v>0</v>
      </c>
      <c r="F59" s="49">
        <f>'[1]Z 2'!O91</f>
        <v>1840</v>
      </c>
      <c r="G59" s="170">
        <v>0</v>
      </c>
    </row>
    <row r="60" spans="1:7" ht="12.75">
      <c r="A60" s="184"/>
      <c r="B60" s="168"/>
      <c r="C60" s="248" t="s">
        <v>261</v>
      </c>
      <c r="D60" s="42" t="s">
        <v>262</v>
      </c>
      <c r="E60" s="49">
        <v>0</v>
      </c>
      <c r="F60" s="49">
        <f>'[1]Z 2'!O92</f>
        <v>7160</v>
      </c>
      <c r="G60" s="170">
        <v>0</v>
      </c>
    </row>
    <row r="61" spans="1:7" ht="12.75">
      <c r="A61" s="184"/>
      <c r="B61" s="168"/>
      <c r="C61" s="116" t="s">
        <v>231</v>
      </c>
      <c r="D61" s="49" t="s">
        <v>232</v>
      </c>
      <c r="E61" s="49">
        <v>0</v>
      </c>
      <c r="F61" s="49">
        <f>'[1]Z 2'!O93</f>
        <v>1060</v>
      </c>
      <c r="G61" s="170">
        <v>0</v>
      </c>
    </row>
    <row r="62" spans="1:7" ht="12.75">
      <c r="A62" s="184"/>
      <c r="B62" s="168"/>
      <c r="C62" s="116" t="s">
        <v>237</v>
      </c>
      <c r="D62" s="49" t="s">
        <v>297</v>
      </c>
      <c r="E62" s="49">
        <v>0</v>
      </c>
      <c r="F62" s="49">
        <f>'[1]Z 2'!O94</f>
        <v>1400</v>
      </c>
      <c r="G62" s="170">
        <v>0</v>
      </c>
    </row>
    <row r="63" spans="1:7" ht="12.75">
      <c r="A63" s="184"/>
      <c r="B63" s="168"/>
      <c r="C63" s="116" t="s">
        <v>239</v>
      </c>
      <c r="D63" s="49" t="s">
        <v>240</v>
      </c>
      <c r="E63" s="49">
        <v>0</v>
      </c>
      <c r="F63" s="49">
        <f>'[1]Z 2'!O95</f>
        <v>600</v>
      </c>
      <c r="G63" s="170">
        <v>0</v>
      </c>
    </row>
    <row r="64" spans="1:7" ht="12.75">
      <c r="A64" s="184"/>
      <c r="B64" s="168"/>
      <c r="C64" s="116" t="s">
        <v>243</v>
      </c>
      <c r="D64" s="49" t="s">
        <v>244</v>
      </c>
      <c r="E64" s="49">
        <v>0</v>
      </c>
      <c r="F64" s="49">
        <f>'[1]Z 2'!O96</f>
        <v>2634</v>
      </c>
      <c r="G64" s="170">
        <v>0</v>
      </c>
    </row>
    <row r="65" spans="1:7" ht="15.75" customHeight="1">
      <c r="A65" s="186" t="s">
        <v>292</v>
      </c>
      <c r="B65" s="186" t="s">
        <v>315</v>
      </c>
      <c r="C65" s="186" t="s">
        <v>510</v>
      </c>
      <c r="D65" s="178" t="s">
        <v>84</v>
      </c>
      <c r="E65" s="178">
        <f>'[1]Z1'!V57</f>
        <v>13000</v>
      </c>
      <c r="F65" s="178">
        <f>F66+F67+F68+F69+F70+F71+F72</f>
        <v>13000</v>
      </c>
      <c r="G65" s="179">
        <v>0</v>
      </c>
    </row>
    <row r="66" spans="1:7" ht="15.75" customHeight="1">
      <c r="A66" s="168"/>
      <c r="B66" s="168"/>
      <c r="C66" s="116" t="s">
        <v>219</v>
      </c>
      <c r="D66" s="49" t="s">
        <v>520</v>
      </c>
      <c r="E66" s="49">
        <v>0</v>
      </c>
      <c r="F66" s="49">
        <f>'[1]Z 2'!O128</f>
        <v>5330</v>
      </c>
      <c r="G66" s="170">
        <v>0</v>
      </c>
    </row>
    <row r="67" spans="1:7" ht="15.75" customHeight="1">
      <c r="A67" s="168"/>
      <c r="B67" s="168"/>
      <c r="C67" s="116" t="s">
        <v>259</v>
      </c>
      <c r="D67" s="49" t="s">
        <v>316</v>
      </c>
      <c r="E67" s="49">
        <v>0</v>
      </c>
      <c r="F67" s="49">
        <f>'[1]Z 2'!O129</f>
        <v>775</v>
      </c>
      <c r="G67" s="170">
        <v>0</v>
      </c>
    </row>
    <row r="68" spans="1:7" ht="15.75" customHeight="1">
      <c r="A68" s="168"/>
      <c r="B68" s="168"/>
      <c r="C68" s="116" t="s">
        <v>229</v>
      </c>
      <c r="D68" s="49" t="s">
        <v>230</v>
      </c>
      <c r="E68" s="49">
        <v>0</v>
      </c>
      <c r="F68" s="49">
        <f>'[1]Z 2'!O130</f>
        <v>110</v>
      </c>
      <c r="G68" s="170">
        <v>0</v>
      </c>
    </row>
    <row r="69" spans="1:7" ht="15.75" customHeight="1">
      <c r="A69" s="168"/>
      <c r="B69" s="168"/>
      <c r="C69" s="116" t="s">
        <v>261</v>
      </c>
      <c r="D69" s="49" t="s">
        <v>262</v>
      </c>
      <c r="E69" s="49">
        <v>0</v>
      </c>
      <c r="F69" s="49">
        <f>'[1]Z 2'!O131</f>
        <v>5400</v>
      </c>
      <c r="G69" s="170">
        <v>0</v>
      </c>
    </row>
    <row r="70" spans="1:7" ht="15.75" customHeight="1">
      <c r="A70" s="168"/>
      <c r="B70" s="168"/>
      <c r="C70" s="116" t="s">
        <v>231</v>
      </c>
      <c r="D70" s="49" t="s">
        <v>232</v>
      </c>
      <c r="E70" s="49">
        <v>0</v>
      </c>
      <c r="F70" s="49">
        <f>'[1]Z 2'!O132</f>
        <v>687</v>
      </c>
      <c r="G70" s="170">
        <v>0</v>
      </c>
    </row>
    <row r="71" spans="1:7" ht="15.75" customHeight="1">
      <c r="A71" s="168"/>
      <c r="B71" s="168"/>
      <c r="C71" s="116" t="s">
        <v>237</v>
      </c>
      <c r="D71" s="49" t="s">
        <v>297</v>
      </c>
      <c r="E71" s="49">
        <v>0</v>
      </c>
      <c r="F71" s="49">
        <f>'[1]Z 2'!O133</f>
        <v>450</v>
      </c>
      <c r="G71" s="170">
        <v>0</v>
      </c>
    </row>
    <row r="72" spans="1:7" ht="15.75" customHeight="1">
      <c r="A72" s="168"/>
      <c r="B72" s="168"/>
      <c r="C72" s="116" t="s">
        <v>239</v>
      </c>
      <c r="D72" s="49" t="s">
        <v>240</v>
      </c>
      <c r="E72" s="49">
        <v>0</v>
      </c>
      <c r="F72" s="49">
        <f>'[1]Z 2'!O134</f>
        <v>248</v>
      </c>
      <c r="G72" s="170">
        <v>0</v>
      </c>
    </row>
    <row r="73" spans="1:7" ht="12.75" hidden="1">
      <c r="A73" s="168" t="s">
        <v>322</v>
      </c>
      <c r="B73" s="168" t="s">
        <v>521</v>
      </c>
      <c r="C73" s="168" t="s">
        <v>511</v>
      </c>
      <c r="D73" s="81" t="s">
        <v>93</v>
      </c>
      <c r="E73" s="81">
        <v>0</v>
      </c>
      <c r="F73" s="81">
        <f>F76+F78+F79+F80+F81+F83+F84+F85+F77+F86+F87+F88+F89+F90+F91+F92+F93+F74+F75+F82</f>
        <v>0</v>
      </c>
      <c r="G73" s="169">
        <v>0</v>
      </c>
    </row>
    <row r="74" spans="1:7" ht="12.75" hidden="1">
      <c r="A74" s="168"/>
      <c r="B74" s="168"/>
      <c r="C74" s="116" t="s">
        <v>217</v>
      </c>
      <c r="D74" s="49" t="s">
        <v>522</v>
      </c>
      <c r="E74" s="49">
        <v>0</v>
      </c>
      <c r="F74" s="49">
        <v>0</v>
      </c>
      <c r="G74" s="170">
        <v>0</v>
      </c>
    </row>
    <row r="75" spans="1:7" ht="12.75" hidden="1">
      <c r="A75" s="168"/>
      <c r="B75" s="168"/>
      <c r="C75" s="116" t="s">
        <v>219</v>
      </c>
      <c r="D75" s="49" t="s">
        <v>520</v>
      </c>
      <c r="E75" s="49">
        <v>0</v>
      </c>
      <c r="F75" s="49">
        <v>0</v>
      </c>
      <c r="G75" s="170">
        <v>0</v>
      </c>
    </row>
    <row r="76" spans="1:7" ht="25.5" hidden="1">
      <c r="A76" s="184"/>
      <c r="B76" s="184"/>
      <c r="C76" s="184" t="s">
        <v>221</v>
      </c>
      <c r="D76" s="75" t="s">
        <v>258</v>
      </c>
      <c r="E76" s="37">
        <v>0</v>
      </c>
      <c r="F76" s="37">
        <v>0</v>
      </c>
      <c r="G76" s="172">
        <v>0</v>
      </c>
    </row>
    <row r="77" spans="1:7" ht="25.5" hidden="1">
      <c r="A77" s="184"/>
      <c r="B77" s="184"/>
      <c r="C77" s="184" t="s">
        <v>223</v>
      </c>
      <c r="D77" s="75" t="s">
        <v>523</v>
      </c>
      <c r="E77" s="37">
        <v>0</v>
      </c>
      <c r="F77" s="37">
        <v>0</v>
      </c>
      <c r="G77" s="172">
        <v>0</v>
      </c>
    </row>
    <row r="78" spans="1:7" ht="12.75" hidden="1">
      <c r="A78" s="184"/>
      <c r="B78" s="184"/>
      <c r="C78" s="184" t="s">
        <v>225</v>
      </c>
      <c r="D78" s="75" t="s">
        <v>524</v>
      </c>
      <c r="E78" s="37">
        <v>0</v>
      </c>
      <c r="F78" s="37">
        <v>0</v>
      </c>
      <c r="G78" s="172">
        <v>0</v>
      </c>
    </row>
    <row r="79" spans="1:7" ht="25.5" hidden="1">
      <c r="A79" s="184"/>
      <c r="B79" s="184"/>
      <c r="C79" s="184" t="s">
        <v>328</v>
      </c>
      <c r="D79" s="75" t="s">
        <v>525</v>
      </c>
      <c r="E79" s="37">
        <v>0</v>
      </c>
      <c r="F79" s="37">
        <v>0</v>
      </c>
      <c r="G79" s="172">
        <v>0</v>
      </c>
    </row>
    <row r="80" spans="1:7" ht="12.75" hidden="1">
      <c r="A80" s="184"/>
      <c r="B80" s="184"/>
      <c r="C80" s="184" t="s">
        <v>330</v>
      </c>
      <c r="D80" s="37" t="s">
        <v>526</v>
      </c>
      <c r="E80" s="37">
        <v>0</v>
      </c>
      <c r="F80" s="37">
        <v>0</v>
      </c>
      <c r="G80" s="172">
        <v>0</v>
      </c>
    </row>
    <row r="81" spans="1:7" ht="12.75" hidden="1">
      <c r="A81" s="184"/>
      <c r="B81" s="184"/>
      <c r="C81" s="184" t="s">
        <v>332</v>
      </c>
      <c r="D81" s="37" t="s">
        <v>333</v>
      </c>
      <c r="E81" s="37">
        <v>0</v>
      </c>
      <c r="F81" s="37">
        <v>0</v>
      </c>
      <c r="G81" s="172">
        <v>0</v>
      </c>
    </row>
    <row r="82" spans="1:7" ht="38.25" hidden="1">
      <c r="A82" s="184"/>
      <c r="B82" s="184"/>
      <c r="C82" s="184" t="s">
        <v>527</v>
      </c>
      <c r="D82" s="75" t="s">
        <v>528</v>
      </c>
      <c r="E82" s="37">
        <v>0</v>
      </c>
      <c r="F82" s="37">
        <v>0</v>
      </c>
      <c r="G82" s="172"/>
    </row>
    <row r="83" spans="1:7" ht="12.75" hidden="1">
      <c r="A83" s="184"/>
      <c r="B83" s="184"/>
      <c r="C83" s="184" t="s">
        <v>259</v>
      </c>
      <c r="D83" s="75" t="s">
        <v>529</v>
      </c>
      <c r="E83" s="37">
        <v>0</v>
      </c>
      <c r="F83" s="37">
        <v>0</v>
      </c>
      <c r="G83" s="172">
        <v>0</v>
      </c>
    </row>
    <row r="84" spans="1:7" ht="18" customHeight="1" hidden="1">
      <c r="A84" s="184"/>
      <c r="B84" s="184"/>
      <c r="C84" s="247" t="s">
        <v>229</v>
      </c>
      <c r="D84" s="75" t="s">
        <v>230</v>
      </c>
      <c r="E84" s="37">
        <v>0</v>
      </c>
      <c r="F84" s="37">
        <v>0</v>
      </c>
      <c r="G84" s="172">
        <v>0</v>
      </c>
    </row>
    <row r="85" spans="1:7" ht="12.75" hidden="1">
      <c r="A85" s="184"/>
      <c r="B85" s="184"/>
      <c r="C85" s="184" t="s">
        <v>231</v>
      </c>
      <c r="D85" s="37" t="s">
        <v>232</v>
      </c>
      <c r="E85" s="37">
        <v>0</v>
      </c>
      <c r="F85" s="37">
        <v>0</v>
      </c>
      <c r="G85" s="172">
        <v>0</v>
      </c>
    </row>
    <row r="86" spans="1:7" ht="12.75" hidden="1">
      <c r="A86" s="184"/>
      <c r="B86" s="184"/>
      <c r="C86" s="184" t="s">
        <v>425</v>
      </c>
      <c r="D86" s="37" t="s">
        <v>530</v>
      </c>
      <c r="E86" s="37">
        <v>0</v>
      </c>
      <c r="F86" s="37">
        <v>0</v>
      </c>
      <c r="G86" s="172">
        <v>0</v>
      </c>
    </row>
    <row r="87" spans="1:7" ht="12.75" hidden="1">
      <c r="A87" s="184"/>
      <c r="B87" s="184"/>
      <c r="C87" s="184" t="s">
        <v>336</v>
      </c>
      <c r="D87" s="37" t="s">
        <v>337</v>
      </c>
      <c r="E87" s="37">
        <v>0</v>
      </c>
      <c r="F87" s="37">
        <v>0</v>
      </c>
      <c r="G87" s="172">
        <v>0</v>
      </c>
    </row>
    <row r="88" spans="1:7" ht="12.75" hidden="1">
      <c r="A88" s="184"/>
      <c r="B88" s="184"/>
      <c r="C88" s="184" t="s">
        <v>233</v>
      </c>
      <c r="D88" s="37" t="s">
        <v>291</v>
      </c>
      <c r="E88" s="37">
        <v>0</v>
      </c>
      <c r="F88" s="37">
        <v>0</v>
      </c>
      <c r="G88" s="172">
        <v>0</v>
      </c>
    </row>
    <row r="89" spans="1:7" ht="12.75" hidden="1">
      <c r="A89" s="184"/>
      <c r="B89" s="184"/>
      <c r="C89" s="184" t="s">
        <v>235</v>
      </c>
      <c r="D89" s="37" t="s">
        <v>278</v>
      </c>
      <c r="E89" s="37">
        <v>0</v>
      </c>
      <c r="F89" s="37">
        <v>0</v>
      </c>
      <c r="G89" s="172">
        <v>0</v>
      </c>
    </row>
    <row r="90" spans="1:7" ht="12.75" hidden="1">
      <c r="A90" s="184"/>
      <c r="B90" s="184"/>
      <c r="C90" s="184" t="s">
        <v>237</v>
      </c>
      <c r="D90" s="37" t="s">
        <v>297</v>
      </c>
      <c r="E90" s="37">
        <v>0</v>
      </c>
      <c r="F90" s="37">
        <v>0</v>
      </c>
      <c r="G90" s="172">
        <v>0</v>
      </c>
    </row>
    <row r="91" spans="1:7" ht="12.75" hidden="1">
      <c r="A91" s="184"/>
      <c r="B91" s="184"/>
      <c r="C91" s="184" t="s">
        <v>239</v>
      </c>
      <c r="D91" s="37" t="s">
        <v>240</v>
      </c>
      <c r="E91" s="37">
        <v>0</v>
      </c>
      <c r="F91" s="37">
        <v>0</v>
      </c>
      <c r="G91" s="172">
        <v>0</v>
      </c>
    </row>
    <row r="92" spans="1:7" ht="12.75" hidden="1">
      <c r="A92" s="184"/>
      <c r="B92" s="184"/>
      <c r="C92" s="184" t="s">
        <v>243</v>
      </c>
      <c r="D92" s="37" t="s">
        <v>244</v>
      </c>
      <c r="E92" s="37">
        <v>0</v>
      </c>
      <c r="F92" s="37">
        <v>0</v>
      </c>
      <c r="G92" s="172">
        <v>0</v>
      </c>
    </row>
    <row r="93" spans="1:7" ht="12.75" hidden="1">
      <c r="A93" s="184"/>
      <c r="B93" s="184"/>
      <c r="C93" s="184" t="s">
        <v>266</v>
      </c>
      <c r="D93" s="37" t="s">
        <v>267</v>
      </c>
      <c r="E93" s="37">
        <v>0</v>
      </c>
      <c r="F93" s="37">
        <v>0</v>
      </c>
      <c r="G93" s="172">
        <v>0</v>
      </c>
    </row>
    <row r="94" spans="1:7" ht="24.75" customHeight="1">
      <c r="A94" s="186" t="s">
        <v>322</v>
      </c>
      <c r="B94" s="186" t="s">
        <v>95</v>
      </c>
      <c r="C94" s="186" t="s">
        <v>510</v>
      </c>
      <c r="D94" s="181" t="s">
        <v>87</v>
      </c>
      <c r="E94" s="178">
        <f>'[1]Z1'!V61</f>
        <v>2201000</v>
      </c>
      <c r="F94" s="178">
        <f>F95+F96+F97+F98+F99+F100+F101+F102+F103+F104+F105+F106+F107+F108+F109+F110+F111+F112+F113+F114</f>
        <v>2201000</v>
      </c>
      <c r="G94" s="179">
        <v>0</v>
      </c>
    </row>
    <row r="95" spans="1:7" ht="24.75" customHeight="1">
      <c r="A95" s="249"/>
      <c r="B95" s="249"/>
      <c r="C95" s="250" t="s">
        <v>325</v>
      </c>
      <c r="D95" s="101" t="s">
        <v>531</v>
      </c>
      <c r="E95" s="251">
        <v>0</v>
      </c>
      <c r="F95" s="90">
        <f>'[1]Z 2'!O147</f>
        <v>149000</v>
      </c>
      <c r="G95" s="252"/>
    </row>
    <row r="96" spans="1:7" ht="24.75" customHeight="1">
      <c r="A96" s="168"/>
      <c r="B96" s="116"/>
      <c r="C96" s="116" t="s">
        <v>223</v>
      </c>
      <c r="D96" s="42" t="s">
        <v>532</v>
      </c>
      <c r="E96" s="49">
        <v>0</v>
      </c>
      <c r="F96" s="90">
        <f>'[1]Z 2'!O148</f>
        <v>19000</v>
      </c>
      <c r="G96" s="170">
        <v>0</v>
      </c>
    </row>
    <row r="97" spans="1:7" ht="24.75" customHeight="1">
      <c r="A97" s="168"/>
      <c r="B97" s="116"/>
      <c r="C97" s="116" t="s">
        <v>225</v>
      </c>
      <c r="D97" s="42" t="s">
        <v>524</v>
      </c>
      <c r="E97" s="49">
        <v>0</v>
      </c>
      <c r="F97" s="90">
        <f>'[1]Z 2'!O149</f>
        <v>2000</v>
      </c>
      <c r="G97" s="170">
        <v>0</v>
      </c>
    </row>
    <row r="98" spans="1:7" ht="24.75" customHeight="1">
      <c r="A98" s="168"/>
      <c r="B98" s="116"/>
      <c r="C98" s="116" t="s">
        <v>328</v>
      </c>
      <c r="D98" s="75" t="s">
        <v>525</v>
      </c>
      <c r="E98" s="49">
        <v>0</v>
      </c>
      <c r="F98" s="90">
        <f>'[1]Z 2'!O150</f>
        <v>1388850</v>
      </c>
      <c r="G98" s="170">
        <v>0</v>
      </c>
    </row>
    <row r="99" spans="1:7" ht="17.25" customHeight="1">
      <c r="A99" s="168"/>
      <c r="B99" s="116"/>
      <c r="C99" s="116" t="s">
        <v>330</v>
      </c>
      <c r="D99" s="37" t="s">
        <v>526</v>
      </c>
      <c r="E99" s="49">
        <v>0</v>
      </c>
      <c r="F99" s="90">
        <f>'[1]Z 2'!O151</f>
        <v>147000</v>
      </c>
      <c r="G99" s="170">
        <v>0</v>
      </c>
    </row>
    <row r="100" spans="1:7" ht="14.25" customHeight="1">
      <c r="A100" s="168"/>
      <c r="B100" s="116"/>
      <c r="C100" s="184" t="s">
        <v>332</v>
      </c>
      <c r="D100" s="37" t="s">
        <v>333</v>
      </c>
      <c r="E100" s="49">
        <v>0</v>
      </c>
      <c r="F100" s="90">
        <f>'[1]Z 2'!O152</f>
        <v>117000</v>
      </c>
      <c r="G100" s="170">
        <v>0</v>
      </c>
    </row>
    <row r="101" spans="1:7" ht="17.25" customHeight="1">
      <c r="A101" s="168"/>
      <c r="B101" s="116"/>
      <c r="C101" s="247" t="s">
        <v>259</v>
      </c>
      <c r="D101" s="75" t="s">
        <v>529</v>
      </c>
      <c r="E101" s="49">
        <v>0</v>
      </c>
      <c r="F101" s="90">
        <f>'[1]Z 2'!O153</f>
        <v>10500</v>
      </c>
      <c r="G101" s="170">
        <v>0</v>
      </c>
    </row>
    <row r="102" spans="1:7" ht="15" customHeight="1">
      <c r="A102" s="168"/>
      <c r="B102" s="116"/>
      <c r="C102" s="247" t="s">
        <v>229</v>
      </c>
      <c r="D102" s="75" t="s">
        <v>230</v>
      </c>
      <c r="E102" s="49">
        <v>0</v>
      </c>
      <c r="F102" s="90">
        <f>'[1]Z 2'!O154</f>
        <v>650</v>
      </c>
      <c r="G102" s="170">
        <v>0</v>
      </c>
    </row>
    <row r="103" spans="1:7" ht="20.25" customHeight="1">
      <c r="A103" s="168"/>
      <c r="B103" s="168"/>
      <c r="C103" s="184" t="s">
        <v>334</v>
      </c>
      <c r="D103" s="75" t="s">
        <v>533</v>
      </c>
      <c r="E103" s="49">
        <v>0</v>
      </c>
      <c r="F103" s="90">
        <f>'[1]Z 2'!O155</f>
        <v>93000</v>
      </c>
      <c r="G103" s="253">
        <v>0</v>
      </c>
    </row>
    <row r="104" spans="1:7" ht="18.75" customHeight="1">
      <c r="A104" s="168"/>
      <c r="B104" s="168"/>
      <c r="C104" s="116" t="s">
        <v>231</v>
      </c>
      <c r="D104" s="49" t="s">
        <v>232</v>
      </c>
      <c r="E104" s="49">
        <v>0</v>
      </c>
      <c r="F104" s="90">
        <f>'[1]Z 2'!O156</f>
        <v>137820</v>
      </c>
      <c r="G104" s="253">
        <v>0</v>
      </c>
    </row>
    <row r="105" spans="1:7" ht="21.75" customHeight="1">
      <c r="A105" s="168"/>
      <c r="B105" s="168"/>
      <c r="C105" s="116" t="s">
        <v>336</v>
      </c>
      <c r="D105" s="49" t="s">
        <v>337</v>
      </c>
      <c r="E105" s="49">
        <v>0</v>
      </c>
      <c r="F105" s="90">
        <f>'[1]Z 2'!O157</f>
        <v>20000</v>
      </c>
      <c r="G105" s="253">
        <v>0</v>
      </c>
    </row>
    <row r="106" spans="1:7" ht="21.75" customHeight="1">
      <c r="A106" s="168"/>
      <c r="B106" s="168"/>
      <c r="C106" s="116" t="s">
        <v>233</v>
      </c>
      <c r="D106" s="49" t="s">
        <v>291</v>
      </c>
      <c r="E106" s="49">
        <v>0</v>
      </c>
      <c r="F106" s="90">
        <f>'[1]Z 2'!O158</f>
        <v>18000</v>
      </c>
      <c r="G106" s="253">
        <v>0</v>
      </c>
    </row>
    <row r="107" spans="1:7" ht="21.75" customHeight="1">
      <c r="A107" s="168"/>
      <c r="B107" s="168"/>
      <c r="C107" s="116" t="s">
        <v>235</v>
      </c>
      <c r="D107" s="49" t="s">
        <v>278</v>
      </c>
      <c r="E107" s="49">
        <v>0</v>
      </c>
      <c r="F107" s="90">
        <f>'[1]Z 2'!O159</f>
        <v>12000</v>
      </c>
      <c r="G107" s="253">
        <v>0</v>
      </c>
    </row>
    <row r="108" spans="1:7" ht="21.75" customHeight="1">
      <c r="A108" s="168"/>
      <c r="B108" s="168"/>
      <c r="C108" s="116" t="s">
        <v>338</v>
      </c>
      <c r="D108" s="49" t="s">
        <v>339</v>
      </c>
      <c r="E108" s="49">
        <v>0</v>
      </c>
      <c r="F108" s="90">
        <f>'[1]Z 2'!O160</f>
        <v>14520</v>
      </c>
      <c r="G108" s="253">
        <v>0</v>
      </c>
    </row>
    <row r="109" spans="1:7" ht="21.75" customHeight="1">
      <c r="A109" s="168"/>
      <c r="B109" s="168"/>
      <c r="C109" s="116" t="s">
        <v>237</v>
      </c>
      <c r="D109" s="49" t="s">
        <v>297</v>
      </c>
      <c r="E109" s="49">
        <v>0</v>
      </c>
      <c r="F109" s="90">
        <f>'[1]Z 2'!O161</f>
        <v>45000</v>
      </c>
      <c r="G109" s="253">
        <v>0</v>
      </c>
    </row>
    <row r="110" spans="1:7" ht="21.75" customHeight="1">
      <c r="A110" s="168"/>
      <c r="B110" s="168"/>
      <c r="C110" s="116" t="s">
        <v>239</v>
      </c>
      <c r="D110" s="49" t="s">
        <v>240</v>
      </c>
      <c r="E110" s="49">
        <v>0</v>
      </c>
      <c r="F110" s="90">
        <f>'[1]Z 2'!O162</f>
        <v>7000</v>
      </c>
      <c r="G110" s="253">
        <v>0</v>
      </c>
    </row>
    <row r="111" spans="1:7" ht="17.25" customHeight="1">
      <c r="A111" s="168"/>
      <c r="B111" s="168"/>
      <c r="C111" s="116" t="s">
        <v>241</v>
      </c>
      <c r="D111" s="49" t="s">
        <v>242</v>
      </c>
      <c r="E111" s="49">
        <v>0</v>
      </c>
      <c r="F111" s="90">
        <f>'[1]Z 2'!O163</f>
        <v>8000</v>
      </c>
      <c r="G111" s="253">
        <v>0</v>
      </c>
    </row>
    <row r="112" spans="1:7" ht="18" customHeight="1">
      <c r="A112" s="168"/>
      <c r="B112" s="168"/>
      <c r="C112" s="116" t="s">
        <v>243</v>
      </c>
      <c r="D112" s="49" t="s">
        <v>244</v>
      </c>
      <c r="E112" s="49">
        <v>0</v>
      </c>
      <c r="F112" s="90">
        <f>'[1]Z 2'!O164</f>
        <v>1000</v>
      </c>
      <c r="G112" s="253">
        <v>0</v>
      </c>
    </row>
    <row r="113" spans="1:7" ht="18.75" customHeight="1">
      <c r="A113" s="168"/>
      <c r="B113" s="168"/>
      <c r="C113" s="116" t="s">
        <v>279</v>
      </c>
      <c r="D113" s="49" t="s">
        <v>516</v>
      </c>
      <c r="E113" s="49">
        <v>0</v>
      </c>
      <c r="F113" s="90">
        <f>'[1]Z 2'!O165</f>
        <v>10500</v>
      </c>
      <c r="G113" s="253">
        <v>0</v>
      </c>
    </row>
    <row r="114" spans="1:7" ht="15.75" customHeight="1">
      <c r="A114" s="168"/>
      <c r="B114" s="168"/>
      <c r="C114" s="116" t="s">
        <v>281</v>
      </c>
      <c r="D114" s="49" t="s">
        <v>534</v>
      </c>
      <c r="E114" s="49">
        <v>0</v>
      </c>
      <c r="F114" s="90">
        <f>'[1]Z 2'!O166</f>
        <v>160</v>
      </c>
      <c r="G114" s="253">
        <v>0</v>
      </c>
    </row>
    <row r="115" spans="1:7" ht="21.75" customHeight="1" hidden="1">
      <c r="A115" s="168"/>
      <c r="B115" s="168"/>
      <c r="C115" s="116" t="s">
        <v>268</v>
      </c>
      <c r="D115" s="49" t="s">
        <v>273</v>
      </c>
      <c r="E115" s="49">
        <v>0</v>
      </c>
      <c r="F115" s="49">
        <v>0</v>
      </c>
      <c r="G115" s="253">
        <v>0</v>
      </c>
    </row>
    <row r="116" spans="1:7" ht="21.75" customHeight="1">
      <c r="A116" s="186" t="s">
        <v>322</v>
      </c>
      <c r="B116" s="186" t="s">
        <v>340</v>
      </c>
      <c r="C116" s="186" t="s">
        <v>510</v>
      </c>
      <c r="D116" s="178" t="s">
        <v>89</v>
      </c>
      <c r="E116" s="178">
        <f>'[1]Z1'!V72</f>
        <v>3000</v>
      </c>
      <c r="F116" s="178">
        <f>F117+F118</f>
        <v>3000</v>
      </c>
      <c r="G116" s="254">
        <v>0</v>
      </c>
    </row>
    <row r="117" spans="1:7" ht="21.75" customHeight="1">
      <c r="A117" s="168"/>
      <c r="B117" s="168"/>
      <c r="C117" s="116" t="s">
        <v>231</v>
      </c>
      <c r="D117" s="49" t="s">
        <v>232</v>
      </c>
      <c r="E117" s="81">
        <v>0</v>
      </c>
      <c r="F117" s="49">
        <f>'[1]Z 2'!N169</f>
        <v>1400</v>
      </c>
      <c r="G117" s="255">
        <v>0</v>
      </c>
    </row>
    <row r="118" spans="1:7" ht="21.75" customHeight="1">
      <c r="A118" s="168"/>
      <c r="B118" s="168"/>
      <c r="C118" s="116" t="s">
        <v>237</v>
      </c>
      <c r="D118" s="49" t="s">
        <v>297</v>
      </c>
      <c r="E118" s="49">
        <v>0</v>
      </c>
      <c r="F118" s="49">
        <f>'[1]Z 2'!N170</f>
        <v>1600</v>
      </c>
      <c r="G118" s="253">
        <v>0</v>
      </c>
    </row>
    <row r="119" spans="1:7" ht="28.5" customHeight="1">
      <c r="A119" s="186" t="s">
        <v>134</v>
      </c>
      <c r="B119" s="186" t="s">
        <v>415</v>
      </c>
      <c r="C119" s="186" t="s">
        <v>510</v>
      </c>
      <c r="D119" s="181" t="s">
        <v>535</v>
      </c>
      <c r="E119" s="178">
        <f>'[1]Z1'!V116</f>
        <v>548000</v>
      </c>
      <c r="F119" s="178">
        <f>F120</f>
        <v>548000</v>
      </c>
      <c r="G119" s="254">
        <v>0</v>
      </c>
    </row>
    <row r="120" spans="1:7" ht="20.25" customHeight="1">
      <c r="A120" s="168"/>
      <c r="B120" s="168"/>
      <c r="C120" s="116" t="s">
        <v>417</v>
      </c>
      <c r="D120" s="42" t="s">
        <v>536</v>
      </c>
      <c r="E120" s="49">
        <v>0</v>
      </c>
      <c r="F120" s="49">
        <f>'[1]Z 2'!N309</f>
        <v>548000</v>
      </c>
      <c r="G120" s="253">
        <v>0</v>
      </c>
    </row>
    <row r="121" spans="1:7" ht="25.5" hidden="1">
      <c r="A121" s="168" t="s">
        <v>158</v>
      </c>
      <c r="B121" s="168" t="s">
        <v>537</v>
      </c>
      <c r="C121" s="168" t="s">
        <v>511</v>
      </c>
      <c r="D121" s="93" t="s">
        <v>436</v>
      </c>
      <c r="E121" s="81" t="e">
        <f>#REF!</f>
        <v>#REF!</v>
      </c>
      <c r="F121" s="81">
        <f>F122+F124+F123+F125+F126+F127+F128+F129+F130</f>
        <v>0</v>
      </c>
      <c r="G121" s="169">
        <v>0</v>
      </c>
    </row>
    <row r="122" spans="1:7" ht="25.5" hidden="1">
      <c r="A122" s="184"/>
      <c r="B122" s="168"/>
      <c r="C122" s="116" t="s">
        <v>221</v>
      </c>
      <c r="D122" s="42" t="s">
        <v>258</v>
      </c>
      <c r="E122" s="49">
        <v>0</v>
      </c>
      <c r="F122" s="49">
        <v>0</v>
      </c>
      <c r="G122" s="170">
        <v>0</v>
      </c>
    </row>
    <row r="123" spans="1:7" ht="12.75" hidden="1">
      <c r="A123" s="184"/>
      <c r="B123" s="168"/>
      <c r="C123" s="116" t="s">
        <v>225</v>
      </c>
      <c r="D123" s="42" t="s">
        <v>513</v>
      </c>
      <c r="E123" s="49">
        <v>0</v>
      </c>
      <c r="F123" s="49">
        <v>0</v>
      </c>
      <c r="G123" s="170">
        <v>0</v>
      </c>
    </row>
    <row r="124" spans="1:7" ht="12.75" hidden="1">
      <c r="A124" s="184"/>
      <c r="B124" s="168"/>
      <c r="C124" s="248" t="s">
        <v>259</v>
      </c>
      <c r="D124" s="42" t="s">
        <v>316</v>
      </c>
      <c r="E124" s="49">
        <v>0</v>
      </c>
      <c r="F124" s="49">
        <v>0</v>
      </c>
      <c r="G124" s="170">
        <v>0</v>
      </c>
    </row>
    <row r="125" spans="1:7" ht="12.75" hidden="1">
      <c r="A125" s="184"/>
      <c r="B125" s="168"/>
      <c r="C125" s="248" t="s">
        <v>229</v>
      </c>
      <c r="D125" s="42" t="s">
        <v>230</v>
      </c>
      <c r="E125" s="49">
        <v>0</v>
      </c>
      <c r="F125" s="49">
        <v>0</v>
      </c>
      <c r="G125" s="170">
        <v>0</v>
      </c>
    </row>
    <row r="126" spans="1:7" ht="13.5" customHeight="1" hidden="1">
      <c r="A126" s="184"/>
      <c r="B126" s="168"/>
      <c r="C126" s="248" t="s">
        <v>231</v>
      </c>
      <c r="D126" s="42" t="s">
        <v>232</v>
      </c>
      <c r="E126" s="49">
        <v>0</v>
      </c>
      <c r="F126" s="49">
        <v>0</v>
      </c>
      <c r="G126" s="170">
        <v>0</v>
      </c>
    </row>
    <row r="127" spans="1:7" ht="12.75" hidden="1">
      <c r="A127" s="184"/>
      <c r="B127" s="168"/>
      <c r="C127" s="248" t="s">
        <v>233</v>
      </c>
      <c r="D127" s="42" t="s">
        <v>291</v>
      </c>
      <c r="E127" s="49">
        <v>0</v>
      </c>
      <c r="F127" s="49">
        <v>0</v>
      </c>
      <c r="G127" s="170">
        <v>0</v>
      </c>
    </row>
    <row r="128" spans="1:7" ht="12.75" hidden="1">
      <c r="A128" s="184"/>
      <c r="B128" s="168"/>
      <c r="C128" s="248" t="s">
        <v>237</v>
      </c>
      <c r="D128" s="42" t="s">
        <v>297</v>
      </c>
      <c r="E128" s="49">
        <v>0</v>
      </c>
      <c r="F128" s="49">
        <v>0</v>
      </c>
      <c r="G128" s="170">
        <v>0</v>
      </c>
    </row>
    <row r="129" spans="1:7" ht="12.75" hidden="1">
      <c r="A129" s="184"/>
      <c r="B129" s="168"/>
      <c r="C129" s="248" t="s">
        <v>239</v>
      </c>
      <c r="D129" s="42" t="s">
        <v>240</v>
      </c>
      <c r="E129" s="49">
        <v>0</v>
      </c>
      <c r="F129" s="49">
        <v>0</v>
      </c>
      <c r="G129" s="170">
        <v>0</v>
      </c>
    </row>
    <row r="130" spans="1:7" ht="12.75" hidden="1">
      <c r="A130" s="184"/>
      <c r="B130" s="168"/>
      <c r="C130" s="248" t="s">
        <v>243</v>
      </c>
      <c r="D130" s="42" t="s">
        <v>244</v>
      </c>
      <c r="E130" s="49">
        <v>0</v>
      </c>
      <c r="F130" s="49">
        <v>0</v>
      </c>
      <c r="G130" s="170">
        <v>0</v>
      </c>
    </row>
    <row r="131" spans="1:7" ht="12.75" hidden="1">
      <c r="A131" s="168" t="s">
        <v>158</v>
      </c>
      <c r="B131" s="168" t="s">
        <v>166</v>
      </c>
      <c r="C131" s="168" t="s">
        <v>511</v>
      </c>
      <c r="D131" s="81" t="s">
        <v>165</v>
      </c>
      <c r="E131" s="81" t="e">
        <f>#REF!</f>
        <v>#REF!</v>
      </c>
      <c r="F131" s="81">
        <f>F132+F133+F134+F135+F136+F137+F139+F140+F141+F142+F143</f>
        <v>0</v>
      </c>
      <c r="G131" s="169">
        <v>0</v>
      </c>
    </row>
    <row r="132" spans="1:7" ht="25.5" hidden="1">
      <c r="A132" s="184"/>
      <c r="B132" s="168"/>
      <c r="C132" s="116" t="s">
        <v>221</v>
      </c>
      <c r="D132" s="42" t="s">
        <v>258</v>
      </c>
      <c r="E132" s="49">
        <v>0</v>
      </c>
      <c r="F132" s="49">
        <v>0</v>
      </c>
      <c r="G132" s="170">
        <v>0</v>
      </c>
    </row>
    <row r="133" spans="1:7" ht="12.75" hidden="1">
      <c r="A133" s="184"/>
      <c r="B133" s="168"/>
      <c r="C133" s="116" t="s">
        <v>225</v>
      </c>
      <c r="D133" s="49" t="s">
        <v>513</v>
      </c>
      <c r="E133" s="49">
        <v>0</v>
      </c>
      <c r="F133" s="49">
        <v>0</v>
      </c>
      <c r="G133" s="170">
        <v>0</v>
      </c>
    </row>
    <row r="134" spans="1:7" ht="12.75" hidden="1">
      <c r="A134" s="184"/>
      <c r="B134" s="168"/>
      <c r="C134" s="248" t="s">
        <v>259</v>
      </c>
      <c r="D134" s="42" t="s">
        <v>316</v>
      </c>
      <c r="E134" s="49">
        <v>0</v>
      </c>
      <c r="F134" s="49">
        <v>0</v>
      </c>
      <c r="G134" s="170">
        <v>0</v>
      </c>
    </row>
    <row r="135" spans="1:7" ht="12.75" hidden="1">
      <c r="A135" s="184"/>
      <c r="B135" s="168"/>
      <c r="C135" s="248" t="s">
        <v>229</v>
      </c>
      <c r="D135" s="42" t="s">
        <v>230</v>
      </c>
      <c r="E135" s="49">
        <v>0</v>
      </c>
      <c r="F135" s="49">
        <v>0</v>
      </c>
      <c r="G135" s="170">
        <v>0</v>
      </c>
    </row>
    <row r="136" spans="1:7" ht="12.75" hidden="1">
      <c r="A136" s="184"/>
      <c r="B136" s="184"/>
      <c r="C136" s="116" t="s">
        <v>231</v>
      </c>
      <c r="D136" s="49" t="s">
        <v>232</v>
      </c>
      <c r="E136" s="49">
        <v>0</v>
      </c>
      <c r="F136" s="49">
        <v>0</v>
      </c>
      <c r="G136" s="170">
        <v>0</v>
      </c>
    </row>
    <row r="137" spans="1:7" ht="12.75" hidden="1">
      <c r="A137" s="184"/>
      <c r="B137" s="184"/>
      <c r="C137" s="116" t="s">
        <v>233</v>
      </c>
      <c r="D137" s="49" t="s">
        <v>291</v>
      </c>
      <c r="E137" s="49">
        <v>0</v>
      </c>
      <c r="F137" s="49">
        <v>0</v>
      </c>
      <c r="G137" s="170">
        <v>0</v>
      </c>
    </row>
    <row r="138" spans="1:7" ht="12.75" hidden="1">
      <c r="A138" s="184"/>
      <c r="B138" s="184"/>
      <c r="C138" s="116" t="s">
        <v>235</v>
      </c>
      <c r="D138" s="49" t="s">
        <v>278</v>
      </c>
      <c r="E138" s="49">
        <v>0</v>
      </c>
      <c r="F138" s="49">
        <v>15074</v>
      </c>
      <c r="G138" s="170">
        <v>0</v>
      </c>
    </row>
    <row r="139" spans="1:7" ht="12.75" hidden="1">
      <c r="A139" s="184"/>
      <c r="B139" s="184"/>
      <c r="C139" s="116" t="s">
        <v>237</v>
      </c>
      <c r="D139" s="49" t="s">
        <v>297</v>
      </c>
      <c r="E139" s="49">
        <v>0</v>
      </c>
      <c r="F139" s="49">
        <v>0</v>
      </c>
      <c r="G139" s="170">
        <v>0</v>
      </c>
    </row>
    <row r="140" spans="1:7" ht="12.75" hidden="1">
      <c r="A140" s="184"/>
      <c r="B140" s="184"/>
      <c r="C140" s="116" t="s">
        <v>239</v>
      </c>
      <c r="D140" s="49" t="s">
        <v>240</v>
      </c>
      <c r="E140" s="49">
        <v>0</v>
      </c>
      <c r="F140" s="49">
        <v>0</v>
      </c>
      <c r="G140" s="170">
        <v>0</v>
      </c>
    </row>
    <row r="141" spans="1:7" ht="12.75" hidden="1">
      <c r="A141" s="184"/>
      <c r="B141" s="184"/>
      <c r="C141" s="116" t="s">
        <v>241</v>
      </c>
      <c r="D141" s="49" t="s">
        <v>242</v>
      </c>
      <c r="E141" s="49">
        <v>0</v>
      </c>
      <c r="F141" s="49">
        <v>0</v>
      </c>
      <c r="G141" s="170">
        <v>0</v>
      </c>
    </row>
    <row r="142" spans="1:7" ht="12.75" hidden="1">
      <c r="A142" s="184"/>
      <c r="B142" s="184"/>
      <c r="C142" s="116" t="s">
        <v>243</v>
      </c>
      <c r="D142" s="49" t="s">
        <v>244</v>
      </c>
      <c r="E142" s="49">
        <v>0</v>
      </c>
      <c r="F142" s="49">
        <v>0</v>
      </c>
      <c r="G142" s="170">
        <v>0</v>
      </c>
    </row>
    <row r="143" spans="1:7" ht="12.75" hidden="1">
      <c r="A143" s="184"/>
      <c r="B143" s="184"/>
      <c r="C143" s="116" t="s">
        <v>266</v>
      </c>
      <c r="D143" s="49" t="s">
        <v>267</v>
      </c>
      <c r="E143" s="49">
        <v>0</v>
      </c>
      <c r="F143" s="49">
        <v>0</v>
      </c>
      <c r="G143" s="170">
        <v>0</v>
      </c>
    </row>
    <row r="144" spans="1:7" ht="21" customHeight="1">
      <c r="A144" s="551" t="s">
        <v>538</v>
      </c>
      <c r="B144" s="551"/>
      <c r="C144" s="551"/>
      <c r="D144" s="551"/>
      <c r="E144" s="222">
        <f>E14+E31+E39+E41+E43+E55+E65+E94+E116+E119</f>
        <v>3206295</v>
      </c>
      <c r="F144" s="222">
        <f>F14+F31+F39+F41+F43+F55+F65+F94+F116+F119</f>
        <v>3206295</v>
      </c>
      <c r="G144" s="222">
        <f>G10</f>
        <v>138608</v>
      </c>
    </row>
    <row r="145" ht="12.75">
      <c r="E145" t="s">
        <v>539</v>
      </c>
    </row>
  </sheetData>
  <mergeCells count="9">
    <mergeCell ref="B13:F13"/>
    <mergeCell ref="E1:G1"/>
    <mergeCell ref="A144:D144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565" t="s">
        <v>783</v>
      </c>
      <c r="D1" s="565"/>
      <c r="E1" s="565"/>
      <c r="F1" s="565"/>
    </row>
    <row r="2" spans="1:6" ht="33.75" customHeight="1">
      <c r="A2" s="566" t="s">
        <v>540</v>
      </c>
      <c r="B2" s="566"/>
      <c r="C2" s="566"/>
      <c r="D2" s="566"/>
      <c r="E2" s="566"/>
      <c r="F2" s="566"/>
    </row>
    <row r="3" spans="1:6" ht="12" customHeight="1">
      <c r="A3" s="567" t="s">
        <v>2</v>
      </c>
      <c r="B3" s="567"/>
      <c r="C3" s="567"/>
      <c r="D3" s="564" t="s">
        <v>497</v>
      </c>
      <c r="E3" s="564" t="s">
        <v>541</v>
      </c>
      <c r="F3" s="564" t="s">
        <v>499</v>
      </c>
    </row>
    <row r="4" spans="1:6" ht="12" customHeight="1">
      <c r="A4" s="257" t="s">
        <v>501</v>
      </c>
      <c r="B4" s="257" t="s">
        <v>21</v>
      </c>
      <c r="C4" s="257" t="s">
        <v>22</v>
      </c>
      <c r="D4" s="564"/>
      <c r="E4" s="564"/>
      <c r="F4" s="564"/>
    </row>
    <row r="5" spans="1:6" ht="11.25" customHeight="1">
      <c r="A5" s="259">
        <v>1</v>
      </c>
      <c r="B5" s="259">
        <v>2</v>
      </c>
      <c r="C5" s="259">
        <v>3</v>
      </c>
      <c r="D5" s="259">
        <v>4</v>
      </c>
      <c r="E5" s="259">
        <v>5</v>
      </c>
      <c r="F5" s="259">
        <v>6</v>
      </c>
    </row>
    <row r="6" spans="1:6" ht="17.25" customHeight="1">
      <c r="A6" s="260"/>
      <c r="B6" s="260"/>
      <c r="C6" s="260"/>
      <c r="D6" s="261" t="s">
        <v>542</v>
      </c>
      <c r="E6" s="261">
        <f>E7+E10+E14</f>
        <v>513221</v>
      </c>
      <c r="F6" s="261">
        <f>F10+F14</f>
        <v>0</v>
      </c>
    </row>
    <row r="7" spans="1:6" ht="24.75" customHeight="1">
      <c r="A7" s="245">
        <v>754</v>
      </c>
      <c r="B7" s="245">
        <v>75411</v>
      </c>
      <c r="C7" s="262"/>
      <c r="D7" s="246" t="s">
        <v>543</v>
      </c>
      <c r="E7" s="245">
        <f>E9</f>
        <v>20000</v>
      </c>
      <c r="F7" s="245"/>
    </row>
    <row r="8" spans="1:6" ht="12" customHeight="1">
      <c r="A8" s="263"/>
      <c r="B8" s="263"/>
      <c r="C8" s="264"/>
      <c r="D8" s="265" t="s">
        <v>544</v>
      </c>
      <c r="E8" s="263"/>
      <c r="F8" s="263"/>
    </row>
    <row r="9" spans="1:6" ht="14.25" customHeight="1">
      <c r="A9" s="264"/>
      <c r="B9" s="264"/>
      <c r="C9" s="266">
        <v>6630</v>
      </c>
      <c r="D9" s="267" t="s">
        <v>545</v>
      </c>
      <c r="E9" s="266">
        <v>20000</v>
      </c>
      <c r="F9" s="263"/>
    </row>
    <row r="10" spans="1:6" ht="15" customHeight="1">
      <c r="A10" s="178">
        <v>803</v>
      </c>
      <c r="B10" s="178">
        <v>80309</v>
      </c>
      <c r="C10" s="268"/>
      <c r="D10" s="269" t="s">
        <v>129</v>
      </c>
      <c r="E10" s="245">
        <f>E12+E13</f>
        <v>85061</v>
      </c>
      <c r="F10" s="245">
        <f>F12+F13</f>
        <v>0</v>
      </c>
    </row>
    <row r="11" spans="1:6" ht="11.25" customHeight="1">
      <c r="A11" s="81"/>
      <c r="B11" s="81"/>
      <c r="C11" s="270"/>
      <c r="D11" s="248" t="s">
        <v>544</v>
      </c>
      <c r="E11" s="270"/>
      <c r="F11" s="270"/>
    </row>
    <row r="12" spans="1:6" ht="11.25" customHeight="1">
      <c r="A12" s="49"/>
      <c r="B12" s="49"/>
      <c r="C12" s="270">
        <v>2888</v>
      </c>
      <c r="D12" s="248" t="s">
        <v>545</v>
      </c>
      <c r="E12" s="270">
        <f>'[1]Z1'!V106</f>
        <v>63795</v>
      </c>
      <c r="F12" s="270"/>
    </row>
    <row r="13" spans="1:6" ht="11.25" customHeight="1">
      <c r="A13" s="49"/>
      <c r="B13" s="49"/>
      <c r="C13" s="270">
        <v>2889</v>
      </c>
      <c r="D13" s="248" t="s">
        <v>545</v>
      </c>
      <c r="E13" s="270">
        <f>'[1]Z1'!V107</f>
        <v>21266</v>
      </c>
      <c r="F13" s="270"/>
    </row>
    <row r="14" spans="1:6" ht="11.25" customHeight="1">
      <c r="A14" s="178">
        <v>854</v>
      </c>
      <c r="B14" s="178">
        <v>85415</v>
      </c>
      <c r="C14" s="268"/>
      <c r="D14" s="269" t="s">
        <v>168</v>
      </c>
      <c r="E14" s="245">
        <f>E16+E17</f>
        <v>408160</v>
      </c>
      <c r="F14" s="245">
        <f>F16+F17</f>
        <v>0</v>
      </c>
    </row>
    <row r="15" spans="1:6" ht="11.25" customHeight="1">
      <c r="A15" s="49"/>
      <c r="B15" s="49"/>
      <c r="C15" s="270"/>
      <c r="D15" s="248" t="s">
        <v>544</v>
      </c>
      <c r="E15" s="270"/>
      <c r="F15" s="270"/>
    </row>
    <row r="16" spans="1:6" ht="11.25" customHeight="1">
      <c r="A16" s="49"/>
      <c r="B16" s="49"/>
      <c r="C16" s="270">
        <v>2888</v>
      </c>
      <c r="D16" s="248" t="s">
        <v>545</v>
      </c>
      <c r="E16" s="270">
        <f>'[1]Z1'!V159</f>
        <v>277549</v>
      </c>
      <c r="F16" s="270">
        <v>0</v>
      </c>
    </row>
    <row r="17" spans="1:6" ht="11.25" customHeight="1">
      <c r="A17" s="49"/>
      <c r="B17" s="49"/>
      <c r="C17" s="270">
        <v>2889</v>
      </c>
      <c r="D17" s="248" t="s">
        <v>545</v>
      </c>
      <c r="E17" s="270">
        <f>'[1]Z1'!V160</f>
        <v>130611</v>
      </c>
      <c r="F17" s="270">
        <v>0</v>
      </c>
    </row>
    <row r="18" spans="1:6" ht="16.5" customHeight="1">
      <c r="A18" s="260"/>
      <c r="B18" s="260"/>
      <c r="C18" s="260"/>
      <c r="D18" s="261" t="s">
        <v>546</v>
      </c>
      <c r="E18" s="261">
        <f>E19+E23+E26+E31+E58+E71+E81+E84+E88+E91+E97+E100+E103</f>
        <v>864856</v>
      </c>
      <c r="F18" s="261">
        <f>F19+F23+F26+F31+F55+F58+F71+F81+F84+F88+F91+F97+F100+F103</f>
        <v>401310</v>
      </c>
    </row>
    <row r="19" spans="1:6" ht="18.75" customHeight="1">
      <c r="A19" s="245">
        <v>600</v>
      </c>
      <c r="B19" s="245">
        <v>60014</v>
      </c>
      <c r="C19" s="245">
        <v>2310</v>
      </c>
      <c r="D19" s="245" t="s">
        <v>547</v>
      </c>
      <c r="E19" s="245">
        <f>E22</f>
        <v>0</v>
      </c>
      <c r="F19" s="245">
        <f>F22</f>
        <v>0</v>
      </c>
    </row>
    <row r="20" spans="1:6" ht="9.75" customHeight="1">
      <c r="A20" s="270"/>
      <c r="B20" s="270"/>
      <c r="C20" s="270"/>
      <c r="D20" s="227" t="s">
        <v>544</v>
      </c>
      <c r="E20" s="270"/>
      <c r="F20" s="270"/>
    </row>
    <row r="21" spans="1:6" ht="15.75" customHeight="1" hidden="1">
      <c r="A21" s="270"/>
      <c r="B21" s="270"/>
      <c r="C21" s="270"/>
      <c r="D21" s="89" t="s">
        <v>548</v>
      </c>
      <c r="E21" s="270">
        <v>0</v>
      </c>
      <c r="F21" s="270">
        <v>0</v>
      </c>
    </row>
    <row r="22" spans="1:6" ht="15.75" customHeight="1">
      <c r="A22" s="270"/>
      <c r="B22" s="270"/>
      <c r="C22" s="270">
        <v>2310</v>
      </c>
      <c r="D22" s="89" t="s">
        <v>549</v>
      </c>
      <c r="E22" s="270">
        <v>0</v>
      </c>
      <c r="F22" s="270">
        <f>'[1]Z 2'!Q39</f>
        <v>0</v>
      </c>
    </row>
    <row r="23" spans="1:6" ht="15.75" customHeight="1">
      <c r="A23" s="175" t="s">
        <v>25</v>
      </c>
      <c r="B23" s="175" t="s">
        <v>31</v>
      </c>
      <c r="C23" s="245">
        <v>2310</v>
      </c>
      <c r="D23" s="271" t="s">
        <v>30</v>
      </c>
      <c r="E23" s="245">
        <f>E25</f>
        <v>0</v>
      </c>
      <c r="F23" s="245">
        <f>F25</f>
        <v>1700</v>
      </c>
    </row>
    <row r="24" spans="1:6" ht="12.75" customHeight="1">
      <c r="A24" s="270"/>
      <c r="B24" s="270"/>
      <c r="C24" s="270"/>
      <c r="D24" s="89" t="s">
        <v>544</v>
      </c>
      <c r="E24" s="270"/>
      <c r="F24" s="270"/>
    </row>
    <row r="25" spans="1:6" ht="15.75" customHeight="1">
      <c r="A25" s="270"/>
      <c r="B25" s="270"/>
      <c r="C25" s="270">
        <v>2310</v>
      </c>
      <c r="D25" s="89" t="s">
        <v>550</v>
      </c>
      <c r="E25" s="270">
        <v>0</v>
      </c>
      <c r="F25" s="270">
        <f>'[1]Z 2'!Q30</f>
        <v>1700</v>
      </c>
    </row>
    <row r="26" spans="1:6" ht="25.5" customHeight="1">
      <c r="A26" s="246">
        <v>754</v>
      </c>
      <c r="B26" s="246">
        <v>75411</v>
      </c>
      <c r="C26" s="246">
        <v>2310</v>
      </c>
      <c r="D26" s="274" t="s">
        <v>86</v>
      </c>
      <c r="E26" s="246">
        <f>E28+E29+E30</f>
        <v>1000</v>
      </c>
      <c r="F26" s="246">
        <f>F28+F29+F30</f>
        <v>0</v>
      </c>
    </row>
    <row r="27" spans="1:6" ht="15.75" customHeight="1">
      <c r="A27" s="270"/>
      <c r="B27" s="270"/>
      <c r="C27" s="270"/>
      <c r="D27" s="89" t="s">
        <v>544</v>
      </c>
      <c r="E27" s="270"/>
      <c r="F27" s="270"/>
    </row>
    <row r="28" spans="1:6" ht="15.75" customHeight="1">
      <c r="A28" s="270"/>
      <c r="B28" s="270"/>
      <c r="C28" s="270"/>
      <c r="D28" s="89" t="s">
        <v>551</v>
      </c>
      <c r="E28" s="270">
        <v>1000</v>
      </c>
      <c r="F28" s="270">
        <v>0</v>
      </c>
    </row>
    <row r="29" spans="1:6" ht="15.75" customHeight="1">
      <c r="A29" s="270"/>
      <c r="B29" s="270"/>
      <c r="C29" s="270"/>
      <c r="D29" s="89" t="s">
        <v>552</v>
      </c>
      <c r="E29" s="270">
        <v>0</v>
      </c>
      <c r="F29" s="270">
        <v>0</v>
      </c>
    </row>
    <row r="30" spans="1:6" ht="15.75" customHeight="1">
      <c r="A30" s="270"/>
      <c r="B30" s="270"/>
      <c r="C30" s="270"/>
      <c r="D30" s="89" t="s">
        <v>553</v>
      </c>
      <c r="E30" s="270">
        <v>0</v>
      </c>
      <c r="F30" s="270">
        <v>0</v>
      </c>
    </row>
    <row r="31" spans="1:6" ht="13.5" customHeight="1">
      <c r="A31" s="245">
        <v>600</v>
      </c>
      <c r="B31" s="245">
        <v>60014</v>
      </c>
      <c r="C31" s="245">
        <v>6610</v>
      </c>
      <c r="D31" s="245" t="s">
        <v>547</v>
      </c>
      <c r="E31" s="245">
        <f>E33+E35+E34</f>
        <v>120000</v>
      </c>
      <c r="F31" s="245">
        <f>F33+F35+F34</f>
        <v>0</v>
      </c>
    </row>
    <row r="32" spans="1:6" ht="12" customHeight="1">
      <c r="A32" s="270"/>
      <c r="B32" s="270"/>
      <c r="C32" s="270"/>
      <c r="D32" s="227" t="s">
        <v>544</v>
      </c>
      <c r="E32" s="270"/>
      <c r="F32" s="270"/>
    </row>
    <row r="33" spans="1:6" ht="15" customHeight="1">
      <c r="A33" s="89"/>
      <c r="B33" s="89"/>
      <c r="C33" s="270">
        <v>6610</v>
      </c>
      <c r="D33" s="89" t="s">
        <v>549</v>
      </c>
      <c r="E33" s="270">
        <v>50000</v>
      </c>
      <c r="F33" s="270">
        <v>0</v>
      </c>
    </row>
    <row r="34" spans="1:6" ht="15" customHeight="1">
      <c r="A34" s="89"/>
      <c r="B34" s="89"/>
      <c r="C34" s="270">
        <v>6610</v>
      </c>
      <c r="D34" s="89" t="s">
        <v>554</v>
      </c>
      <c r="E34" s="270">
        <v>50000</v>
      </c>
      <c r="F34" s="270">
        <v>0</v>
      </c>
    </row>
    <row r="35" spans="1:6" ht="15" customHeight="1">
      <c r="A35" s="89"/>
      <c r="B35" s="89"/>
      <c r="C35" s="270">
        <v>6610</v>
      </c>
      <c r="D35" s="89" t="s">
        <v>550</v>
      </c>
      <c r="E35" s="270">
        <v>20000</v>
      </c>
      <c r="F35" s="270">
        <v>0</v>
      </c>
    </row>
    <row r="36" spans="1:6" ht="15" customHeight="1" hidden="1">
      <c r="A36" s="88">
        <v>600</v>
      </c>
      <c r="B36" s="88">
        <v>60014</v>
      </c>
      <c r="C36" s="257">
        <v>663</v>
      </c>
      <c r="D36" s="257" t="s">
        <v>547</v>
      </c>
      <c r="E36" s="257">
        <f>E38</f>
        <v>0</v>
      </c>
      <c r="F36" s="257">
        <f>F38</f>
        <v>0</v>
      </c>
    </row>
    <row r="37" spans="1:6" ht="12" customHeight="1" hidden="1">
      <c r="A37" s="89"/>
      <c r="B37" s="89"/>
      <c r="C37" s="270"/>
      <c r="D37" s="227" t="s">
        <v>544</v>
      </c>
      <c r="E37" s="270"/>
      <c r="F37" s="270"/>
    </row>
    <row r="38" spans="1:6" ht="15" customHeight="1" hidden="1">
      <c r="A38" s="89"/>
      <c r="B38" s="89"/>
      <c r="C38" s="270"/>
      <c r="D38" s="89" t="s">
        <v>555</v>
      </c>
      <c r="E38" s="270">
        <v>0</v>
      </c>
      <c r="F38" s="270">
        <v>0</v>
      </c>
    </row>
    <row r="39" spans="1:6" ht="15" customHeight="1" hidden="1">
      <c r="A39" s="88">
        <v>851</v>
      </c>
      <c r="B39" s="88">
        <v>85111</v>
      </c>
      <c r="C39" s="257">
        <v>231</v>
      </c>
      <c r="D39" s="88" t="s">
        <v>135</v>
      </c>
      <c r="E39" s="257">
        <f>E41+E42</f>
        <v>124000</v>
      </c>
      <c r="F39" s="257">
        <f>F41</f>
        <v>0</v>
      </c>
    </row>
    <row r="40" spans="1:6" ht="9.75" customHeight="1" hidden="1">
      <c r="A40" s="89"/>
      <c r="B40" s="89"/>
      <c r="C40" s="270"/>
      <c r="D40" s="227" t="s">
        <v>544</v>
      </c>
      <c r="E40" s="270"/>
      <c r="F40" s="270"/>
    </row>
    <row r="41" spans="1:6" ht="15" customHeight="1" hidden="1">
      <c r="A41" s="89"/>
      <c r="B41" s="89"/>
      <c r="C41" s="270"/>
      <c r="D41" s="89" t="s">
        <v>556</v>
      </c>
      <c r="E41" s="270">
        <v>100000</v>
      </c>
      <c r="F41" s="270">
        <v>0</v>
      </c>
    </row>
    <row r="42" spans="1:6" ht="15" customHeight="1" hidden="1">
      <c r="A42" s="89"/>
      <c r="B42" s="89"/>
      <c r="C42" s="270"/>
      <c r="D42" s="89" t="s">
        <v>557</v>
      </c>
      <c r="E42" s="270">
        <v>24000</v>
      </c>
      <c r="F42" s="270">
        <v>0</v>
      </c>
    </row>
    <row r="43" spans="1:6" ht="15" customHeight="1" hidden="1">
      <c r="A43" s="88">
        <v>600</v>
      </c>
      <c r="B43" s="88">
        <v>60014</v>
      </c>
      <c r="C43" s="257">
        <v>6610</v>
      </c>
      <c r="D43" s="257" t="s">
        <v>547</v>
      </c>
      <c r="E43" s="270">
        <f>E45</f>
        <v>0</v>
      </c>
      <c r="F43" s="257">
        <f>F45</f>
        <v>0</v>
      </c>
    </row>
    <row r="44" spans="1:6" ht="11.25" customHeight="1" hidden="1">
      <c r="A44" s="89"/>
      <c r="B44" s="89"/>
      <c r="C44" s="270"/>
      <c r="D44" s="227" t="s">
        <v>544</v>
      </c>
      <c r="E44" s="270"/>
      <c r="F44" s="270"/>
    </row>
    <row r="45" spans="1:6" ht="15" customHeight="1" hidden="1">
      <c r="A45" s="89"/>
      <c r="B45" s="89"/>
      <c r="C45" s="270"/>
      <c r="D45" s="89" t="s">
        <v>556</v>
      </c>
      <c r="E45" s="270">
        <v>0</v>
      </c>
      <c r="F45" s="270">
        <v>0</v>
      </c>
    </row>
    <row r="46" spans="1:6" ht="15.75" customHeight="1" hidden="1">
      <c r="A46" s="257">
        <v>630</v>
      </c>
      <c r="B46" s="257">
        <v>63001</v>
      </c>
      <c r="C46" s="257">
        <v>6620</v>
      </c>
      <c r="D46" s="257" t="s">
        <v>558</v>
      </c>
      <c r="E46" s="257">
        <f>E48</f>
        <v>0</v>
      </c>
      <c r="F46" s="257">
        <v>0</v>
      </c>
    </row>
    <row r="47" spans="1:6" ht="12" customHeight="1" hidden="1">
      <c r="A47" s="270"/>
      <c r="B47" s="270"/>
      <c r="C47" s="270"/>
      <c r="D47" s="227" t="s">
        <v>544</v>
      </c>
      <c r="E47" s="270"/>
      <c r="F47" s="270">
        <v>0</v>
      </c>
    </row>
    <row r="48" spans="1:6" ht="26.25" customHeight="1" hidden="1">
      <c r="A48" s="270"/>
      <c r="B48" s="270"/>
      <c r="C48" s="270"/>
      <c r="D48" s="98" t="s">
        <v>559</v>
      </c>
      <c r="E48" s="270">
        <v>0</v>
      </c>
      <c r="F48" s="270">
        <v>0</v>
      </c>
    </row>
    <row r="49" spans="1:6" ht="17.25" customHeight="1" hidden="1">
      <c r="A49" s="257">
        <v>630</v>
      </c>
      <c r="B49" s="257">
        <v>63001</v>
      </c>
      <c r="C49" s="257">
        <v>6610</v>
      </c>
      <c r="D49" s="257" t="s">
        <v>558</v>
      </c>
      <c r="E49" s="270">
        <v>0</v>
      </c>
      <c r="F49" s="257">
        <f>F51</f>
        <v>0</v>
      </c>
    </row>
    <row r="50" spans="1:6" ht="10.5" customHeight="1" hidden="1">
      <c r="A50" s="270"/>
      <c r="B50" s="270"/>
      <c r="C50" s="270"/>
      <c r="D50" s="227" t="s">
        <v>544</v>
      </c>
      <c r="E50" s="270">
        <v>0</v>
      </c>
      <c r="F50" s="270"/>
    </row>
    <row r="51" spans="1:6" ht="15.75" customHeight="1" hidden="1">
      <c r="A51" s="270"/>
      <c r="B51" s="270"/>
      <c r="C51" s="270"/>
      <c r="D51" s="98" t="s">
        <v>556</v>
      </c>
      <c r="E51" s="270">
        <v>0</v>
      </c>
      <c r="F51" s="270">
        <v>0</v>
      </c>
    </row>
    <row r="52" spans="1:6" ht="15.75" customHeight="1" hidden="1">
      <c r="A52" s="174" t="s">
        <v>25</v>
      </c>
      <c r="B52" s="174" t="s">
        <v>31</v>
      </c>
      <c r="C52" s="257">
        <v>2310</v>
      </c>
      <c r="D52" s="275" t="s">
        <v>30</v>
      </c>
      <c r="E52" s="257">
        <v>0</v>
      </c>
      <c r="F52" s="257">
        <f>F54</f>
        <v>0</v>
      </c>
    </row>
    <row r="53" spans="1:6" ht="11.25" customHeight="1" hidden="1">
      <c r="A53" s="213"/>
      <c r="B53" s="213"/>
      <c r="C53" s="270"/>
      <c r="D53" s="229" t="s">
        <v>544</v>
      </c>
      <c r="E53" s="270">
        <v>0</v>
      </c>
      <c r="F53" s="270"/>
    </row>
    <row r="54" spans="1:6" ht="15.75" customHeight="1" hidden="1">
      <c r="A54" s="213"/>
      <c r="B54" s="213"/>
      <c r="C54" s="270"/>
      <c r="D54" s="98" t="s">
        <v>560</v>
      </c>
      <c r="E54" s="270">
        <v>0</v>
      </c>
      <c r="F54" s="270">
        <v>0</v>
      </c>
    </row>
    <row r="55" spans="1:6" ht="27" customHeight="1">
      <c r="A55" s="179">
        <v>801</v>
      </c>
      <c r="B55" s="179">
        <v>80146</v>
      </c>
      <c r="C55" s="245">
        <v>2320</v>
      </c>
      <c r="D55" s="274" t="s">
        <v>561</v>
      </c>
      <c r="E55" s="245">
        <f>E57</f>
        <v>0</v>
      </c>
      <c r="F55" s="245">
        <f>F57</f>
        <v>12000</v>
      </c>
    </row>
    <row r="56" spans="1:6" ht="10.5" customHeight="1">
      <c r="A56" s="223"/>
      <c r="B56" s="223"/>
      <c r="C56" s="223"/>
      <c r="D56" s="227" t="s">
        <v>544</v>
      </c>
      <c r="E56" s="223"/>
      <c r="F56" s="223"/>
    </row>
    <row r="57" spans="1:6" ht="15" customHeight="1">
      <c r="A57" s="223"/>
      <c r="B57" s="223"/>
      <c r="C57" s="223">
        <v>2320</v>
      </c>
      <c r="D57" s="36" t="s">
        <v>562</v>
      </c>
      <c r="E57" s="223">
        <v>0</v>
      </c>
      <c r="F57" s="223">
        <f>'[1]Z 2'!Q277</f>
        <v>12000</v>
      </c>
    </row>
    <row r="58" spans="1:6" ht="24" customHeight="1">
      <c r="A58" s="245">
        <v>852</v>
      </c>
      <c r="B58" s="179">
        <v>85201</v>
      </c>
      <c r="C58" s="245">
        <v>2320</v>
      </c>
      <c r="D58" s="276" t="s">
        <v>563</v>
      </c>
      <c r="E58" s="245">
        <f>E60+E61+E62+E63+E68+E69+E70</f>
        <v>239521</v>
      </c>
      <c r="F58" s="245">
        <f>F60+F61+F62+F63</f>
        <v>315230</v>
      </c>
    </row>
    <row r="59" spans="1:6" ht="10.5" customHeight="1">
      <c r="A59" s="223"/>
      <c r="B59" s="223"/>
      <c r="C59" s="223"/>
      <c r="D59" s="277" t="s">
        <v>544</v>
      </c>
      <c r="E59" s="223"/>
      <c r="F59" s="223"/>
    </row>
    <row r="60" spans="1:6" ht="15" customHeight="1">
      <c r="A60" s="223"/>
      <c r="B60" s="223"/>
      <c r="C60" s="223">
        <v>2320</v>
      </c>
      <c r="D60" s="45" t="s">
        <v>564</v>
      </c>
      <c r="E60" s="223">
        <v>39920</v>
      </c>
      <c r="F60" s="223">
        <v>56016</v>
      </c>
    </row>
    <row r="61" spans="1:6" ht="18" customHeight="1">
      <c r="A61" s="223"/>
      <c r="B61" s="223"/>
      <c r="C61" s="223">
        <v>2320</v>
      </c>
      <c r="D61" s="45" t="s">
        <v>565</v>
      </c>
      <c r="E61" s="223">
        <v>0</v>
      </c>
      <c r="F61" s="223">
        <v>31944</v>
      </c>
    </row>
    <row r="62" spans="1:6" ht="21" customHeight="1">
      <c r="A62" s="223"/>
      <c r="B62" s="223"/>
      <c r="C62" s="223">
        <v>2320</v>
      </c>
      <c r="D62" s="45" t="s">
        <v>566</v>
      </c>
      <c r="E62" s="223">
        <v>0</v>
      </c>
      <c r="F62" s="223">
        <v>88200</v>
      </c>
    </row>
    <row r="63" spans="1:6" ht="15" customHeight="1">
      <c r="A63" s="223"/>
      <c r="B63" s="223"/>
      <c r="C63" s="223">
        <v>2320</v>
      </c>
      <c r="D63" s="36" t="s">
        <v>567</v>
      </c>
      <c r="E63" s="223">
        <v>106453</v>
      </c>
      <c r="F63" s="223">
        <v>139070</v>
      </c>
    </row>
    <row r="64" spans="1:6" ht="25.5" customHeight="1" hidden="1">
      <c r="A64" s="81">
        <v>854</v>
      </c>
      <c r="B64" s="81">
        <v>85417</v>
      </c>
      <c r="C64" s="257">
        <v>2310</v>
      </c>
      <c r="D64" s="93" t="s">
        <v>568</v>
      </c>
      <c r="E64" s="257">
        <v>0</v>
      </c>
      <c r="F64" s="257">
        <f>F66+F67</f>
        <v>0</v>
      </c>
    </row>
    <row r="65" spans="1:6" ht="7.5" customHeight="1" hidden="1">
      <c r="A65" s="37"/>
      <c r="B65" s="37"/>
      <c r="C65" s="223"/>
      <c r="D65" s="87" t="s">
        <v>544</v>
      </c>
      <c r="E65" s="223"/>
      <c r="F65" s="223"/>
    </row>
    <row r="66" spans="1:6" ht="18" customHeight="1" hidden="1">
      <c r="A66" s="37"/>
      <c r="B66" s="37"/>
      <c r="C66" s="223"/>
      <c r="D66" s="247" t="s">
        <v>569</v>
      </c>
      <c r="E66" s="223">
        <v>0</v>
      </c>
      <c r="F66" s="223">
        <v>0</v>
      </c>
    </row>
    <row r="67" spans="1:6" ht="15" customHeight="1" hidden="1">
      <c r="A67" s="37"/>
      <c r="B67" s="37"/>
      <c r="C67" s="223"/>
      <c r="D67" s="247" t="s">
        <v>570</v>
      </c>
      <c r="E67" s="223">
        <v>0</v>
      </c>
      <c r="F67" s="223">
        <v>0</v>
      </c>
    </row>
    <row r="68" spans="1:6" ht="15" customHeight="1">
      <c r="A68" s="37"/>
      <c r="B68" s="37"/>
      <c r="C68" s="223">
        <v>2320</v>
      </c>
      <c r="D68" s="247" t="s">
        <v>571</v>
      </c>
      <c r="E68" s="223">
        <v>39920</v>
      </c>
      <c r="F68" s="223"/>
    </row>
    <row r="69" spans="1:6" ht="15" customHeight="1">
      <c r="A69" s="37"/>
      <c r="B69" s="37"/>
      <c r="C69" s="223">
        <v>2320</v>
      </c>
      <c r="D69" s="247" t="s">
        <v>572</v>
      </c>
      <c r="E69" s="223">
        <v>26614</v>
      </c>
      <c r="F69" s="223"/>
    </row>
    <row r="70" spans="1:6" ht="15" customHeight="1">
      <c r="A70" s="37"/>
      <c r="B70" s="37"/>
      <c r="C70" s="223">
        <v>2320</v>
      </c>
      <c r="D70" s="247" t="s">
        <v>573</v>
      </c>
      <c r="E70" s="223">
        <v>26614</v>
      </c>
      <c r="F70" s="223">
        <v>0</v>
      </c>
    </row>
    <row r="71" spans="1:7" ht="15" customHeight="1">
      <c r="A71" s="178">
        <v>852</v>
      </c>
      <c r="B71" s="178">
        <v>85204</v>
      </c>
      <c r="C71" s="245"/>
      <c r="D71" s="269" t="s">
        <v>152</v>
      </c>
      <c r="E71" s="245">
        <f>E73+E74+E75+E76</f>
        <v>27747</v>
      </c>
      <c r="F71" s="245">
        <f>F73+F74+F76</f>
        <v>24500</v>
      </c>
      <c r="G71" s="115"/>
    </row>
    <row r="72" spans="1:6" ht="11.25" customHeight="1">
      <c r="A72" s="37"/>
      <c r="B72" s="37"/>
      <c r="C72" s="223"/>
      <c r="D72" s="247" t="s">
        <v>544</v>
      </c>
      <c r="E72" s="223"/>
      <c r="F72" s="223"/>
    </row>
    <row r="73" spans="1:6" ht="15" customHeight="1">
      <c r="A73" s="37"/>
      <c r="B73" s="37"/>
      <c r="C73" s="223">
        <v>2310</v>
      </c>
      <c r="D73" s="247" t="s">
        <v>574</v>
      </c>
      <c r="E73" s="223">
        <v>0</v>
      </c>
      <c r="F73" s="223">
        <v>10679</v>
      </c>
    </row>
    <row r="74" spans="1:6" ht="14.25" customHeight="1">
      <c r="A74" s="37"/>
      <c r="B74" s="37"/>
      <c r="C74" s="223">
        <v>2320</v>
      </c>
      <c r="D74" s="247" t="s">
        <v>575</v>
      </c>
      <c r="E74" s="223">
        <v>0</v>
      </c>
      <c r="F74" s="223">
        <v>6527</v>
      </c>
    </row>
    <row r="75" spans="1:6" ht="14.25" customHeight="1">
      <c r="A75" s="37"/>
      <c r="B75" s="37"/>
      <c r="C75" s="223">
        <v>2320</v>
      </c>
      <c r="D75" s="247" t="s">
        <v>576</v>
      </c>
      <c r="E75" s="223">
        <v>4405</v>
      </c>
      <c r="F75" s="223">
        <v>0</v>
      </c>
    </row>
    <row r="76" spans="1:6" ht="15" customHeight="1">
      <c r="A76" s="37"/>
      <c r="B76" s="37"/>
      <c r="C76" s="223">
        <v>2320</v>
      </c>
      <c r="D76" s="247" t="s">
        <v>577</v>
      </c>
      <c r="E76" s="223">
        <v>23342</v>
      </c>
      <c r="F76" s="223">
        <v>7294</v>
      </c>
    </row>
    <row r="77" spans="1:6" ht="12" customHeight="1" hidden="1">
      <c r="A77" s="37"/>
      <c r="B77" s="37"/>
      <c r="C77" s="223"/>
      <c r="D77" s="247" t="s">
        <v>578</v>
      </c>
      <c r="E77" s="223">
        <v>0</v>
      </c>
      <c r="F77" s="223">
        <v>0</v>
      </c>
    </row>
    <row r="78" spans="1:6" ht="15" customHeight="1" hidden="1">
      <c r="A78" s="81">
        <v>750</v>
      </c>
      <c r="B78" s="81">
        <v>75018</v>
      </c>
      <c r="C78" s="257">
        <v>2330</v>
      </c>
      <c r="D78" s="278" t="s">
        <v>299</v>
      </c>
      <c r="E78" s="257">
        <v>0</v>
      </c>
      <c r="F78" s="257">
        <f>F80</f>
        <v>0</v>
      </c>
    </row>
    <row r="79" spans="1:6" ht="10.5" customHeight="1" hidden="1">
      <c r="A79" s="49"/>
      <c r="B79" s="49"/>
      <c r="C79" s="270"/>
      <c r="D79" s="279" t="s">
        <v>544</v>
      </c>
      <c r="E79" s="270"/>
      <c r="F79" s="270"/>
    </row>
    <row r="80" spans="1:6" ht="24.75" customHeight="1" hidden="1">
      <c r="A80" s="49"/>
      <c r="B80" s="49"/>
      <c r="C80" s="270"/>
      <c r="D80" s="248" t="s">
        <v>579</v>
      </c>
      <c r="E80" s="270">
        <v>0</v>
      </c>
      <c r="F80" s="270">
        <v>0</v>
      </c>
    </row>
    <row r="81" spans="1:6" ht="24.75" customHeight="1">
      <c r="A81" s="178">
        <v>750</v>
      </c>
      <c r="B81" s="178">
        <v>75018</v>
      </c>
      <c r="C81" s="245">
        <v>2330</v>
      </c>
      <c r="D81" s="269" t="s">
        <v>299</v>
      </c>
      <c r="E81" s="245">
        <f>E83</f>
        <v>0</v>
      </c>
      <c r="F81" s="245">
        <f>F83</f>
        <v>3380</v>
      </c>
    </row>
    <row r="82" spans="1:6" ht="13.5" customHeight="1">
      <c r="A82" s="49"/>
      <c r="B82" s="49"/>
      <c r="C82" s="270"/>
      <c r="D82" s="248" t="s">
        <v>544</v>
      </c>
      <c r="E82" s="270"/>
      <c r="F82" s="270"/>
    </row>
    <row r="83" spans="1:6" ht="22.5" customHeight="1">
      <c r="A83" s="49"/>
      <c r="B83" s="49"/>
      <c r="C83" s="270"/>
      <c r="D83" s="248" t="s">
        <v>580</v>
      </c>
      <c r="E83" s="270">
        <v>0</v>
      </c>
      <c r="F83" s="270">
        <f>'[1]Z 2'!Q98</f>
        <v>3380</v>
      </c>
    </row>
    <row r="84" spans="1:6" ht="21.75" customHeight="1">
      <c r="A84" s="178">
        <v>750</v>
      </c>
      <c r="B84" s="178">
        <v>75020</v>
      </c>
      <c r="C84" s="245">
        <v>2310</v>
      </c>
      <c r="D84" s="269" t="s">
        <v>307</v>
      </c>
      <c r="E84" s="245">
        <f>E86+E87</f>
        <v>0</v>
      </c>
      <c r="F84" s="245">
        <f>F86+F87</f>
        <v>10000</v>
      </c>
    </row>
    <row r="85" spans="1:6" ht="12" customHeight="1">
      <c r="A85" s="49"/>
      <c r="B85" s="49"/>
      <c r="C85" s="270"/>
      <c r="D85" s="248" t="s">
        <v>544</v>
      </c>
      <c r="E85" s="270"/>
      <c r="F85" s="270"/>
    </row>
    <row r="86" spans="1:6" ht="15.75" customHeight="1">
      <c r="A86" s="49"/>
      <c r="B86" s="49"/>
      <c r="C86" s="270">
        <v>2310</v>
      </c>
      <c r="D86" s="248" t="s">
        <v>581</v>
      </c>
      <c r="E86" s="270">
        <v>0</v>
      </c>
      <c r="F86" s="270">
        <v>5000</v>
      </c>
    </row>
    <row r="87" spans="1:6" ht="15.75" customHeight="1">
      <c r="A87" s="49"/>
      <c r="B87" s="49"/>
      <c r="C87" s="270">
        <v>2310</v>
      </c>
      <c r="D87" s="248" t="s">
        <v>582</v>
      </c>
      <c r="E87" s="270">
        <v>0</v>
      </c>
      <c r="F87" s="270">
        <v>5000</v>
      </c>
    </row>
    <row r="88" spans="1:6" ht="24" customHeight="1">
      <c r="A88" s="178">
        <v>750</v>
      </c>
      <c r="B88" s="178">
        <v>75075</v>
      </c>
      <c r="C88" s="245">
        <v>2310</v>
      </c>
      <c r="D88" s="181" t="s">
        <v>318</v>
      </c>
      <c r="E88" s="245">
        <f>E90</f>
        <v>0</v>
      </c>
      <c r="F88" s="245">
        <f>F90</f>
        <v>0</v>
      </c>
    </row>
    <row r="89" spans="1:6" ht="10.5" customHeight="1">
      <c r="A89" s="49"/>
      <c r="B89" s="49"/>
      <c r="C89" s="270"/>
      <c r="D89" s="248" t="s">
        <v>544</v>
      </c>
      <c r="E89" s="270"/>
      <c r="F89" s="270"/>
    </row>
    <row r="90" spans="1:6" ht="15.75" customHeight="1">
      <c r="A90" s="49"/>
      <c r="B90" s="49"/>
      <c r="C90" s="270">
        <v>2310</v>
      </c>
      <c r="D90" s="248"/>
      <c r="E90" s="270">
        <v>0</v>
      </c>
      <c r="F90" s="270">
        <v>0</v>
      </c>
    </row>
    <row r="91" spans="1:6" ht="15.75" customHeight="1">
      <c r="A91" s="178">
        <v>851</v>
      </c>
      <c r="B91" s="178">
        <v>85111</v>
      </c>
      <c r="C91" s="245">
        <v>6619</v>
      </c>
      <c r="D91" s="269" t="s">
        <v>135</v>
      </c>
      <c r="E91" s="245">
        <f>E93+E94+E95+E96</f>
        <v>411588</v>
      </c>
      <c r="F91" s="245">
        <f>F93+F94+F96</f>
        <v>0</v>
      </c>
    </row>
    <row r="92" spans="1:6" ht="12" customHeight="1">
      <c r="A92" s="49"/>
      <c r="B92" s="49"/>
      <c r="C92" s="270"/>
      <c r="D92" s="248" t="s">
        <v>544</v>
      </c>
      <c r="E92" s="270"/>
      <c r="F92" s="270"/>
    </row>
    <row r="93" spans="1:6" ht="15.75" customHeight="1">
      <c r="A93" s="49"/>
      <c r="B93" s="49"/>
      <c r="C93" s="270">
        <v>6619</v>
      </c>
      <c r="D93" s="248" t="s">
        <v>583</v>
      </c>
      <c r="E93" s="270">
        <v>318892</v>
      </c>
      <c r="F93" s="270">
        <v>0</v>
      </c>
    </row>
    <row r="94" spans="1:6" ht="15.75" customHeight="1">
      <c r="A94" s="49"/>
      <c r="B94" s="49"/>
      <c r="C94" s="270">
        <v>6619</v>
      </c>
      <c r="D94" s="248" t="s">
        <v>581</v>
      </c>
      <c r="E94" s="270">
        <v>44690</v>
      </c>
      <c r="F94" s="270">
        <v>0</v>
      </c>
    </row>
    <row r="95" spans="1:6" ht="15.75" customHeight="1">
      <c r="A95" s="49"/>
      <c r="B95" s="49"/>
      <c r="C95" s="270">
        <v>6619</v>
      </c>
      <c r="D95" s="248" t="s">
        <v>584</v>
      </c>
      <c r="E95" s="270">
        <v>18003</v>
      </c>
      <c r="F95" s="270"/>
    </row>
    <row r="96" spans="1:6" ht="15.75" customHeight="1">
      <c r="A96" s="49"/>
      <c r="B96" s="49"/>
      <c r="C96" s="270">
        <v>6619</v>
      </c>
      <c r="D96" s="248" t="s">
        <v>585</v>
      </c>
      <c r="E96" s="270">
        <v>30003</v>
      </c>
      <c r="F96" s="270">
        <v>0</v>
      </c>
    </row>
    <row r="97" spans="1:6" ht="15.75" customHeight="1">
      <c r="A97" s="178">
        <v>854</v>
      </c>
      <c r="B97" s="178">
        <v>85417</v>
      </c>
      <c r="C97" s="245">
        <v>2310</v>
      </c>
      <c r="D97" s="269" t="s">
        <v>586</v>
      </c>
      <c r="E97" s="245">
        <f>E99</f>
        <v>0</v>
      </c>
      <c r="F97" s="245">
        <f>F99</f>
        <v>1500</v>
      </c>
    </row>
    <row r="98" spans="1:6" ht="13.5" customHeight="1">
      <c r="A98" s="49"/>
      <c r="B98" s="49"/>
      <c r="C98" s="270"/>
      <c r="D98" s="248" t="s">
        <v>544</v>
      </c>
      <c r="E98" s="270"/>
      <c r="F98" s="270"/>
    </row>
    <row r="99" spans="1:6" ht="15.75" customHeight="1">
      <c r="A99" s="49"/>
      <c r="B99" s="49"/>
      <c r="C99" s="270">
        <v>2310</v>
      </c>
      <c r="D99" s="248" t="s">
        <v>585</v>
      </c>
      <c r="E99" s="270">
        <v>0</v>
      </c>
      <c r="F99" s="270">
        <f>'[1]Z 2'!Q461</f>
        <v>1500</v>
      </c>
    </row>
    <row r="100" spans="1:6" ht="26.25" customHeight="1">
      <c r="A100" s="178">
        <v>921</v>
      </c>
      <c r="B100" s="178">
        <v>92116</v>
      </c>
      <c r="C100" s="245">
        <v>6630</v>
      </c>
      <c r="D100" s="269" t="s">
        <v>185</v>
      </c>
      <c r="E100" s="245">
        <f>E102</f>
        <v>65000</v>
      </c>
      <c r="F100" s="245">
        <f>F102</f>
        <v>0</v>
      </c>
    </row>
    <row r="101" spans="1:6" ht="12" customHeight="1">
      <c r="A101" s="49"/>
      <c r="B101" s="49"/>
      <c r="C101" s="270"/>
      <c r="D101" s="248" t="s">
        <v>544</v>
      </c>
      <c r="E101" s="270"/>
      <c r="F101" s="270"/>
    </row>
    <row r="102" spans="1:6" ht="15.75" customHeight="1">
      <c r="A102" s="49"/>
      <c r="B102" s="49"/>
      <c r="C102" s="270">
        <v>6630</v>
      </c>
      <c r="D102" s="248" t="s">
        <v>545</v>
      </c>
      <c r="E102" s="270">
        <v>65000</v>
      </c>
      <c r="F102" s="270">
        <v>0</v>
      </c>
    </row>
    <row r="103" spans="1:6" ht="27.75" customHeight="1">
      <c r="A103" s="178">
        <v>921</v>
      </c>
      <c r="B103" s="178">
        <v>92116</v>
      </c>
      <c r="C103" s="245">
        <v>2310</v>
      </c>
      <c r="D103" s="269" t="s">
        <v>185</v>
      </c>
      <c r="E103" s="245">
        <v>0</v>
      </c>
      <c r="F103" s="245">
        <f>F105</f>
        <v>33000</v>
      </c>
    </row>
    <row r="104" spans="1:6" ht="11.25" customHeight="1">
      <c r="A104" s="37"/>
      <c r="B104" s="37"/>
      <c r="C104" s="223"/>
      <c r="D104" s="280" t="s">
        <v>544</v>
      </c>
      <c r="E104" s="223"/>
      <c r="F104" s="223"/>
    </row>
    <row r="105" spans="1:6" ht="15" customHeight="1">
      <c r="A105" s="37"/>
      <c r="B105" s="37"/>
      <c r="C105" s="223">
        <v>2310</v>
      </c>
      <c r="D105" s="247" t="s">
        <v>587</v>
      </c>
      <c r="E105" s="223">
        <v>0</v>
      </c>
      <c r="F105" s="223">
        <f>'[1]Z 2'!Q469</f>
        <v>33000</v>
      </c>
    </row>
    <row r="106" spans="1:6" ht="15" customHeight="1" hidden="1">
      <c r="A106" s="81">
        <v>921</v>
      </c>
      <c r="B106" s="81">
        <v>92195</v>
      </c>
      <c r="C106" s="257">
        <v>2310</v>
      </c>
      <c r="D106" s="278" t="s">
        <v>30</v>
      </c>
      <c r="E106" s="257">
        <f>E108</f>
        <v>0</v>
      </c>
      <c r="F106" s="257">
        <f>F108</f>
        <v>0</v>
      </c>
    </row>
    <row r="107" spans="1:6" ht="10.5" customHeight="1" hidden="1">
      <c r="A107" s="37"/>
      <c r="B107" s="37"/>
      <c r="C107" s="223"/>
      <c r="D107" s="279" t="s">
        <v>544</v>
      </c>
      <c r="E107" s="223"/>
      <c r="F107" s="223"/>
    </row>
    <row r="108" spans="1:6" ht="15" customHeight="1" hidden="1">
      <c r="A108" s="37"/>
      <c r="B108" s="37"/>
      <c r="C108" s="223"/>
      <c r="D108" s="247" t="s">
        <v>556</v>
      </c>
      <c r="E108" s="223">
        <v>0</v>
      </c>
      <c r="F108" s="223">
        <v>0</v>
      </c>
    </row>
    <row r="109" spans="1:7" ht="14.25" customHeight="1">
      <c r="A109" s="281"/>
      <c r="B109" s="281"/>
      <c r="C109" s="261"/>
      <c r="D109" s="282" t="s">
        <v>588</v>
      </c>
      <c r="E109" s="261">
        <f>E6+E18</f>
        <v>1378077</v>
      </c>
      <c r="F109" s="261">
        <f>F6+F18</f>
        <v>401310</v>
      </c>
      <c r="G109" s="283"/>
    </row>
    <row r="110" ht="10.5" customHeight="1" hidden="1"/>
    <row r="111" spans="1:6" ht="15" customHeight="1">
      <c r="A111" s="568" t="s">
        <v>589</v>
      </c>
      <c r="B111" s="568"/>
      <c r="C111" s="568"/>
      <c r="D111" s="568"/>
      <c r="E111" s="568"/>
      <c r="F111" s="568"/>
    </row>
    <row r="112" spans="1:6" ht="15" customHeight="1">
      <c r="A112" s="51"/>
      <c r="B112" s="51"/>
      <c r="C112" s="51"/>
      <c r="D112" s="51" t="s">
        <v>590</v>
      </c>
      <c r="E112" s="51"/>
      <c r="F112" s="51"/>
    </row>
    <row r="113" spans="1:6" ht="13.5" customHeight="1">
      <c r="A113" s="51"/>
      <c r="B113" s="51"/>
      <c r="C113" s="51"/>
      <c r="D113" s="51"/>
      <c r="E113" s="51"/>
      <c r="F113" s="51"/>
    </row>
    <row r="114" spans="1:6" ht="14.25" customHeight="1">
      <c r="A114" s="51"/>
      <c r="B114" s="51"/>
      <c r="C114" s="51"/>
      <c r="D114" s="51"/>
      <c r="E114" s="51"/>
      <c r="F114" s="51"/>
    </row>
    <row r="115" spans="1:6" ht="11.25" customHeight="1">
      <c r="A115" s="51"/>
      <c r="B115" s="51"/>
      <c r="C115" s="51"/>
      <c r="D115" s="51"/>
      <c r="E115" s="51"/>
      <c r="F115" s="51"/>
    </row>
    <row r="116" spans="1:6" ht="12.75" customHeight="1">
      <c r="A116" s="51"/>
      <c r="B116" s="51"/>
      <c r="C116" s="51"/>
      <c r="D116" s="51"/>
      <c r="E116" s="51"/>
      <c r="F116" s="51"/>
    </row>
    <row r="117" spans="1:6" ht="13.5" customHeight="1">
      <c r="A117" s="51"/>
      <c r="B117" s="51"/>
      <c r="C117" s="51"/>
      <c r="D117" s="51"/>
      <c r="E117" s="51"/>
      <c r="F117" s="51"/>
    </row>
    <row r="118" spans="1:6" ht="12.75" customHeight="1">
      <c r="A118" s="51"/>
      <c r="B118" s="51"/>
      <c r="C118" s="51"/>
      <c r="D118" s="51"/>
      <c r="E118" s="51"/>
      <c r="F118" s="51"/>
    </row>
    <row r="119" spans="1:6" ht="18" customHeight="1">
      <c r="A119" s="569"/>
      <c r="B119" s="568"/>
      <c r="C119" s="568"/>
      <c r="D119" s="568"/>
      <c r="E119" s="568"/>
      <c r="F119" s="568"/>
    </row>
    <row r="120" spans="1:6" ht="14.25" customHeight="1">
      <c r="A120" s="51"/>
      <c r="B120" s="51"/>
      <c r="C120" s="51"/>
      <c r="D120" s="51"/>
      <c r="E120" s="51"/>
      <c r="F120" s="51"/>
    </row>
    <row r="121" spans="1:6" ht="14.25" customHeight="1">
      <c r="A121" s="51"/>
      <c r="B121" s="51"/>
      <c r="C121" s="51"/>
      <c r="D121" s="51"/>
      <c r="E121" s="51"/>
      <c r="F121" s="51"/>
    </row>
    <row r="122" spans="1:6" ht="15" customHeight="1">
      <c r="A122" s="115"/>
      <c r="B122" s="51"/>
      <c r="C122" s="51"/>
      <c r="D122" s="51"/>
      <c r="E122" s="51"/>
      <c r="F122" s="51"/>
    </row>
    <row r="123" spans="1:6" ht="13.5" customHeight="1">
      <c r="A123" s="51"/>
      <c r="B123" s="51"/>
      <c r="C123" s="51"/>
      <c r="D123" s="51"/>
      <c r="E123" s="51"/>
      <c r="F123" s="51"/>
    </row>
    <row r="124" spans="1:6" ht="15.75" customHeight="1">
      <c r="A124" s="51"/>
      <c r="B124" s="51"/>
      <c r="C124" s="51"/>
      <c r="D124" s="51"/>
      <c r="E124" s="51"/>
      <c r="F124" s="51"/>
    </row>
    <row r="125" spans="1:6" ht="15.75" customHeight="1">
      <c r="A125" s="51"/>
      <c r="B125" s="51"/>
      <c r="C125" s="51"/>
      <c r="D125" s="51"/>
      <c r="E125" s="51"/>
      <c r="F125" s="51"/>
    </row>
    <row r="126" spans="1:6" ht="15" customHeight="1">
      <c r="A126" s="51"/>
      <c r="B126" s="51"/>
      <c r="C126" s="51"/>
      <c r="D126" s="51"/>
      <c r="E126" s="51"/>
      <c r="F126" s="51"/>
    </row>
    <row r="127" spans="1:6" ht="24.75" customHeight="1">
      <c r="A127" s="570"/>
      <c r="B127" s="570"/>
      <c r="C127" s="570"/>
      <c r="D127" s="570"/>
      <c r="E127" s="570"/>
      <c r="F127" s="570"/>
    </row>
    <row r="128" spans="1:6" ht="54.75" customHeight="1">
      <c r="A128" s="570"/>
      <c r="B128" s="570"/>
      <c r="C128" s="570"/>
      <c r="D128" s="570"/>
      <c r="E128" s="570"/>
      <c r="F128" s="570"/>
    </row>
    <row r="129" spans="1:6" ht="18" customHeight="1" hidden="1">
      <c r="A129" s="51"/>
      <c r="B129" s="51"/>
      <c r="C129" s="51"/>
      <c r="D129" s="51"/>
      <c r="E129" s="51"/>
      <c r="F129" s="51"/>
    </row>
    <row r="130" spans="1:6" ht="15.75" customHeight="1" hidden="1">
      <c r="A130" s="51"/>
      <c r="B130" s="51"/>
      <c r="C130" s="51"/>
      <c r="D130" s="51"/>
      <c r="E130" s="51"/>
      <c r="F130" s="51"/>
    </row>
    <row r="131" spans="1:6" ht="12.75">
      <c r="A131" s="51"/>
      <c r="B131" s="51"/>
      <c r="C131" s="51"/>
      <c r="D131" s="51"/>
      <c r="E131" s="51"/>
      <c r="F131" s="51"/>
    </row>
    <row r="132" spans="1:6" ht="47.25" customHeight="1">
      <c r="A132" s="572"/>
      <c r="B132" s="572"/>
      <c r="C132" s="572"/>
      <c r="D132" s="572"/>
      <c r="E132" s="572"/>
      <c r="F132" s="572"/>
    </row>
    <row r="133" spans="1:6" ht="26.25" customHeight="1">
      <c r="A133" s="570"/>
      <c r="B133" s="570"/>
      <c r="C133" s="570"/>
      <c r="D133" s="570"/>
      <c r="E133" s="570"/>
      <c r="F133" s="570"/>
    </row>
    <row r="134" spans="1:6" ht="16.5" customHeight="1">
      <c r="A134" s="115"/>
      <c r="B134" s="51"/>
      <c r="C134" s="51"/>
      <c r="D134" s="51"/>
      <c r="E134" s="51"/>
      <c r="F134" s="51"/>
    </row>
    <row r="135" spans="1:6" ht="15" customHeight="1">
      <c r="A135" s="570"/>
      <c r="B135" s="570"/>
      <c r="C135" s="570"/>
      <c r="D135" s="570"/>
      <c r="E135" s="570"/>
      <c r="F135" s="570"/>
    </row>
    <row r="136" spans="1:6" ht="37.5" customHeight="1">
      <c r="A136" s="570"/>
      <c r="B136" s="570"/>
      <c r="C136" s="570"/>
      <c r="D136" s="570"/>
      <c r="E136" s="570"/>
      <c r="F136" s="570"/>
    </row>
    <row r="137" spans="1:6" ht="27.75" customHeight="1">
      <c r="A137" s="570"/>
      <c r="B137" s="570"/>
      <c r="C137" s="570"/>
      <c r="D137" s="570"/>
      <c r="E137" s="570"/>
      <c r="F137" s="570"/>
    </row>
    <row r="138" spans="1:6" ht="27.75" customHeight="1">
      <c r="A138" s="570"/>
      <c r="B138" s="570"/>
      <c r="C138" s="570"/>
      <c r="D138" s="570"/>
      <c r="E138" s="570"/>
      <c r="F138" s="570"/>
    </row>
    <row r="139" spans="1:6" ht="12.75">
      <c r="A139" s="569"/>
      <c r="B139" s="568"/>
      <c r="C139" s="568"/>
      <c r="D139" s="568"/>
      <c r="E139" s="568"/>
      <c r="F139" s="568"/>
    </row>
    <row r="140" spans="1:6" ht="12.75">
      <c r="A140" s="51"/>
      <c r="B140" s="51"/>
      <c r="C140" s="51"/>
      <c r="D140" s="51"/>
      <c r="E140" s="51"/>
      <c r="F140" s="51"/>
    </row>
    <row r="141" spans="1:6" ht="12.75">
      <c r="A141" s="51"/>
      <c r="B141" s="51"/>
      <c r="C141" s="51"/>
      <c r="D141" s="51"/>
      <c r="E141" s="51"/>
      <c r="F141" s="51"/>
    </row>
    <row r="142" spans="1:6" ht="12.75">
      <c r="A142" s="51"/>
      <c r="B142" s="51"/>
      <c r="C142" s="51"/>
      <c r="D142" s="51"/>
      <c r="E142" s="51"/>
      <c r="F142" s="51"/>
    </row>
    <row r="143" spans="1:6" ht="12.75">
      <c r="A143" s="51"/>
      <c r="B143" s="51"/>
      <c r="C143" s="51"/>
      <c r="D143" s="51"/>
      <c r="E143" s="51"/>
      <c r="F143" s="51"/>
    </row>
    <row r="144" spans="1:6" ht="29.25" customHeight="1">
      <c r="A144" s="51"/>
      <c r="B144" s="51"/>
      <c r="C144" s="51"/>
      <c r="D144" s="571"/>
      <c r="E144" s="571"/>
      <c r="F144" s="571"/>
    </row>
  </sheetData>
  <mergeCells count="18">
    <mergeCell ref="D144:F144"/>
    <mergeCell ref="A139:F139"/>
    <mergeCell ref="A135:F135"/>
    <mergeCell ref="A132:F132"/>
    <mergeCell ref="A133:F133"/>
    <mergeCell ref="A137:F137"/>
    <mergeCell ref="A138:F138"/>
    <mergeCell ref="A136:F136"/>
    <mergeCell ref="A111:F111"/>
    <mergeCell ref="A119:F119"/>
    <mergeCell ref="A128:F128"/>
    <mergeCell ref="A127:F127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30"/>
  <sheetViews>
    <sheetView workbookViewId="0" topLeftCell="D1">
      <selection activeCell="I2" sqref="I2:N2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3" width="9.875" style="0" customWidth="1"/>
    <col min="14" max="14" width="16.25390625" style="0" customWidth="1"/>
  </cols>
  <sheetData>
    <row r="2" spans="4:14" ht="17.25" customHeight="1">
      <c r="D2" s="155"/>
      <c r="E2" s="155"/>
      <c r="I2" s="578" t="s">
        <v>784</v>
      </c>
      <c r="J2" s="578"/>
      <c r="K2" s="578"/>
      <c r="L2" s="578"/>
      <c r="M2" s="578"/>
      <c r="N2" s="578"/>
    </row>
    <row r="3" spans="1:14" ht="27" customHeight="1">
      <c r="A3" s="583" t="s">
        <v>591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</row>
    <row r="4" spans="1:14" ht="13.5" customHeight="1">
      <c r="A4" s="575" t="s">
        <v>501</v>
      </c>
      <c r="B4" s="575" t="s">
        <v>21</v>
      </c>
      <c r="C4" s="574" t="s">
        <v>592</v>
      </c>
      <c r="D4" s="574" t="s">
        <v>593</v>
      </c>
      <c r="E4" s="576" t="s">
        <v>594</v>
      </c>
      <c r="F4" s="584" t="s">
        <v>595</v>
      </c>
      <c r="G4" s="584"/>
      <c r="H4" s="584"/>
      <c r="I4" s="584"/>
      <c r="J4" s="584"/>
      <c r="K4" s="584"/>
      <c r="L4" s="584"/>
      <c r="M4" s="584"/>
      <c r="N4" s="582" t="s">
        <v>596</v>
      </c>
    </row>
    <row r="5" spans="1:14" ht="12.75" customHeight="1">
      <c r="A5" s="575"/>
      <c r="B5" s="575"/>
      <c r="C5" s="574"/>
      <c r="D5" s="574"/>
      <c r="E5" s="585"/>
      <c r="F5" s="576" t="s">
        <v>597</v>
      </c>
      <c r="G5" s="584" t="s">
        <v>598</v>
      </c>
      <c r="H5" s="584"/>
      <c r="I5" s="584"/>
      <c r="J5" s="584"/>
      <c r="K5" s="284"/>
      <c r="L5" s="575" t="s">
        <v>599</v>
      </c>
      <c r="M5" s="575" t="s">
        <v>600</v>
      </c>
      <c r="N5" s="582"/>
    </row>
    <row r="6" spans="1:14" ht="43.5" customHeight="1">
      <c r="A6" s="575"/>
      <c r="B6" s="575"/>
      <c r="C6" s="574"/>
      <c r="D6" s="574"/>
      <c r="E6" s="577"/>
      <c r="F6" s="577"/>
      <c r="G6" s="285" t="s">
        <v>601</v>
      </c>
      <c r="H6" s="285" t="s">
        <v>602</v>
      </c>
      <c r="I6" s="285" t="s">
        <v>603</v>
      </c>
      <c r="J6" s="285" t="s">
        <v>604</v>
      </c>
      <c r="K6" s="285" t="s">
        <v>605</v>
      </c>
      <c r="L6" s="575"/>
      <c r="M6" s="575"/>
      <c r="N6" s="582"/>
    </row>
    <row r="7" spans="1:14" ht="10.5" customHeight="1">
      <c r="A7" s="286">
        <v>1</v>
      </c>
      <c r="B7" s="286">
        <v>2</v>
      </c>
      <c r="C7" s="286">
        <v>4</v>
      </c>
      <c r="D7" s="286">
        <v>5</v>
      </c>
      <c r="E7" s="286">
        <v>6</v>
      </c>
      <c r="F7" s="286">
        <v>7</v>
      </c>
      <c r="G7" s="286">
        <v>8</v>
      </c>
      <c r="H7" s="286">
        <v>8</v>
      </c>
      <c r="I7" s="286">
        <v>9</v>
      </c>
      <c r="J7" s="286">
        <v>10</v>
      </c>
      <c r="K7" s="286">
        <v>11</v>
      </c>
      <c r="L7" s="286">
        <v>12</v>
      </c>
      <c r="M7" s="287">
        <v>13</v>
      </c>
      <c r="N7" s="286">
        <v>14</v>
      </c>
    </row>
    <row r="8" spans="1:14" ht="47.25" customHeight="1" hidden="1">
      <c r="A8" s="288">
        <v>600</v>
      </c>
      <c r="B8" s="288">
        <v>60014</v>
      </c>
      <c r="C8" s="289" t="s">
        <v>606</v>
      </c>
      <c r="D8" s="290">
        <f>F8+L8+M8</f>
        <v>0</v>
      </c>
      <c r="E8" s="290"/>
      <c r="F8" s="290">
        <f>G8+H8+J8+I8</f>
        <v>0</v>
      </c>
      <c r="G8" s="290"/>
      <c r="H8" s="290"/>
      <c r="I8" s="290"/>
      <c r="J8" s="290"/>
      <c r="K8" s="290"/>
      <c r="L8" s="290"/>
      <c r="M8" s="290"/>
      <c r="N8" s="293" t="s">
        <v>607</v>
      </c>
    </row>
    <row r="9" spans="1:14" ht="31.5" customHeight="1">
      <c r="A9" s="294">
        <v>600</v>
      </c>
      <c r="B9" s="294">
        <v>60014</v>
      </c>
      <c r="C9" s="295" t="s">
        <v>608</v>
      </c>
      <c r="D9" s="296">
        <f aca="true" t="shared" si="0" ref="D9:D23">E9+F9+L9+M9</f>
        <v>1313546</v>
      </c>
      <c r="E9" s="296">
        <v>578918</v>
      </c>
      <c r="F9" s="296">
        <f aca="true" t="shared" si="1" ref="F9:F22">G9+H9+J9+I9+K9</f>
        <v>734628</v>
      </c>
      <c r="G9" s="296">
        <v>50000</v>
      </c>
      <c r="H9" s="296">
        <v>0</v>
      </c>
      <c r="I9" s="296">
        <v>88500</v>
      </c>
      <c r="J9" s="296">
        <v>75157</v>
      </c>
      <c r="K9" s="296">
        <v>520971</v>
      </c>
      <c r="L9" s="296">
        <v>0</v>
      </c>
      <c r="M9" s="296">
        <v>0</v>
      </c>
      <c r="N9" s="295" t="s">
        <v>609</v>
      </c>
    </row>
    <row r="10" spans="1:14" ht="32.25" customHeight="1">
      <c r="A10" s="294">
        <v>600</v>
      </c>
      <c r="B10" s="294">
        <v>60014</v>
      </c>
      <c r="C10" s="295" t="s">
        <v>610</v>
      </c>
      <c r="D10" s="296">
        <f t="shared" si="0"/>
        <v>6182034</v>
      </c>
      <c r="E10" s="296">
        <v>1971733</v>
      </c>
      <c r="F10" s="296">
        <f t="shared" si="1"/>
        <v>1956046</v>
      </c>
      <c r="G10" s="296">
        <v>20000</v>
      </c>
      <c r="H10" s="296">
        <v>0</v>
      </c>
      <c r="I10" s="296">
        <v>294500</v>
      </c>
      <c r="J10" s="296">
        <v>174512</v>
      </c>
      <c r="K10" s="296">
        <v>1467034</v>
      </c>
      <c r="L10" s="296">
        <v>2254255</v>
      </c>
      <c r="M10" s="296">
        <v>0</v>
      </c>
      <c r="N10" s="295" t="s">
        <v>611</v>
      </c>
    </row>
    <row r="11" spans="1:14" ht="21.75" customHeight="1">
      <c r="A11" s="294">
        <v>600</v>
      </c>
      <c r="B11" s="294">
        <v>60014</v>
      </c>
      <c r="C11" s="295" t="s">
        <v>612</v>
      </c>
      <c r="D11" s="296">
        <f t="shared" si="0"/>
        <v>43000</v>
      </c>
      <c r="E11" s="296">
        <v>0</v>
      </c>
      <c r="F11" s="296">
        <f t="shared" si="1"/>
        <v>43000</v>
      </c>
      <c r="G11" s="296">
        <v>43000</v>
      </c>
      <c r="H11" s="296"/>
      <c r="I11" s="296"/>
      <c r="J11" s="296"/>
      <c r="K11" s="296"/>
      <c r="L11" s="296"/>
      <c r="M11" s="296"/>
      <c r="N11" s="295" t="s">
        <v>609</v>
      </c>
    </row>
    <row r="12" spans="1:14" ht="21.75" customHeight="1">
      <c r="A12" s="294">
        <v>600</v>
      </c>
      <c r="B12" s="294">
        <v>60014</v>
      </c>
      <c r="C12" s="295" t="s">
        <v>613</v>
      </c>
      <c r="D12" s="296">
        <f t="shared" si="0"/>
        <v>100000</v>
      </c>
      <c r="E12" s="296">
        <v>0</v>
      </c>
      <c r="F12" s="296">
        <f t="shared" si="1"/>
        <v>100000</v>
      </c>
      <c r="G12" s="296">
        <v>100000</v>
      </c>
      <c r="H12" s="296"/>
      <c r="I12" s="296">
        <v>0</v>
      </c>
      <c r="J12" s="296">
        <v>0</v>
      </c>
      <c r="K12" s="296">
        <v>0</v>
      </c>
      <c r="L12" s="296">
        <v>0</v>
      </c>
      <c r="M12" s="296">
        <v>0</v>
      </c>
      <c r="N12" s="297" t="s">
        <v>614</v>
      </c>
    </row>
    <row r="13" spans="1:14" ht="19.5" customHeight="1">
      <c r="A13" s="294">
        <v>600</v>
      </c>
      <c r="B13" s="294">
        <v>60014</v>
      </c>
      <c r="C13" s="295" t="s">
        <v>615</v>
      </c>
      <c r="D13" s="296">
        <f t="shared" si="0"/>
        <v>10000</v>
      </c>
      <c r="E13" s="296">
        <v>0</v>
      </c>
      <c r="F13" s="296">
        <f t="shared" si="1"/>
        <v>10000</v>
      </c>
      <c r="G13" s="296">
        <v>10000</v>
      </c>
      <c r="H13" s="296"/>
      <c r="I13" s="296"/>
      <c r="J13" s="296"/>
      <c r="K13" s="296"/>
      <c r="L13" s="296"/>
      <c r="M13" s="296"/>
      <c r="N13" s="295" t="s">
        <v>609</v>
      </c>
    </row>
    <row r="14" spans="1:14" ht="28.5" customHeight="1">
      <c r="A14" s="294">
        <v>754</v>
      </c>
      <c r="B14" s="294">
        <v>75411</v>
      </c>
      <c r="C14" s="295" t="s">
        <v>616</v>
      </c>
      <c r="D14" s="296">
        <f t="shared" si="0"/>
        <v>20000</v>
      </c>
      <c r="E14" s="296"/>
      <c r="F14" s="296">
        <f t="shared" si="1"/>
        <v>20000</v>
      </c>
      <c r="G14" s="296"/>
      <c r="H14" s="296"/>
      <c r="I14" s="296"/>
      <c r="J14" s="296">
        <v>20000</v>
      </c>
      <c r="K14" s="296"/>
      <c r="L14" s="296"/>
      <c r="M14" s="296"/>
      <c r="N14" s="295" t="s">
        <v>617</v>
      </c>
    </row>
    <row r="15" spans="1:14" ht="27.75" customHeight="1">
      <c r="A15" s="294">
        <v>801</v>
      </c>
      <c r="B15" s="294">
        <v>80111</v>
      </c>
      <c r="C15" s="298" t="s">
        <v>618</v>
      </c>
      <c r="D15" s="296">
        <f t="shared" si="0"/>
        <v>242951</v>
      </c>
      <c r="E15" s="296">
        <v>2500</v>
      </c>
      <c r="F15" s="296">
        <f t="shared" si="1"/>
        <v>240451</v>
      </c>
      <c r="G15" s="296"/>
      <c r="H15" s="296"/>
      <c r="I15" s="296"/>
      <c r="J15" s="296">
        <v>240451</v>
      </c>
      <c r="K15" s="296"/>
      <c r="L15" s="296"/>
      <c r="M15" s="296"/>
      <c r="N15" s="295" t="s">
        <v>619</v>
      </c>
    </row>
    <row r="16" spans="1:15" ht="30" customHeight="1">
      <c r="A16" s="299">
        <v>851</v>
      </c>
      <c r="B16" s="299">
        <v>85111</v>
      </c>
      <c r="C16" s="298" t="s">
        <v>620</v>
      </c>
      <c r="D16" s="296">
        <f t="shared" si="0"/>
        <v>6980000</v>
      </c>
      <c r="E16" s="296">
        <v>101860</v>
      </c>
      <c r="F16" s="296">
        <f t="shared" si="1"/>
        <v>2674262</v>
      </c>
      <c r="G16" s="300">
        <v>523500</v>
      </c>
      <c r="H16" s="300">
        <v>0</v>
      </c>
      <c r="I16" s="300">
        <v>0</v>
      </c>
      <c r="J16" s="300">
        <v>349000</v>
      </c>
      <c r="K16" s="300">
        <v>1801762</v>
      </c>
      <c r="L16" s="300">
        <v>3096542</v>
      </c>
      <c r="M16" s="300">
        <v>1107336</v>
      </c>
      <c r="N16" s="297" t="s">
        <v>614</v>
      </c>
      <c r="O16" s="301"/>
    </row>
    <row r="17" spans="1:15" ht="28.5" customHeight="1">
      <c r="A17" s="299">
        <v>851</v>
      </c>
      <c r="B17" s="299">
        <v>85111</v>
      </c>
      <c r="C17" s="298" t="s">
        <v>621</v>
      </c>
      <c r="D17" s="296">
        <f t="shared" si="0"/>
        <v>49676</v>
      </c>
      <c r="E17" s="296">
        <v>0</v>
      </c>
      <c r="F17" s="296">
        <f t="shared" si="1"/>
        <v>49676</v>
      </c>
      <c r="G17" s="300">
        <v>49676</v>
      </c>
      <c r="H17" s="300"/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297" t="s">
        <v>614</v>
      </c>
      <c r="O17" s="301"/>
    </row>
    <row r="18" spans="1:15" ht="20.25" customHeight="1">
      <c r="A18" s="299">
        <v>852</v>
      </c>
      <c r="B18" s="299">
        <v>85202</v>
      </c>
      <c r="C18" s="298" t="s">
        <v>622</v>
      </c>
      <c r="D18" s="296">
        <f t="shared" si="0"/>
        <v>110000</v>
      </c>
      <c r="E18" s="300">
        <v>0</v>
      </c>
      <c r="F18" s="300">
        <f t="shared" si="1"/>
        <v>110000</v>
      </c>
      <c r="G18" s="300">
        <v>55000</v>
      </c>
      <c r="H18" s="300"/>
      <c r="I18" s="300">
        <v>0</v>
      </c>
      <c r="J18" s="300">
        <v>55000</v>
      </c>
      <c r="K18" s="300">
        <v>0</v>
      </c>
      <c r="L18" s="300">
        <v>0</v>
      </c>
      <c r="M18" s="300">
        <v>0</v>
      </c>
      <c r="N18" s="297" t="s">
        <v>623</v>
      </c>
      <c r="O18" s="301"/>
    </row>
    <row r="19" spans="1:15" ht="21" customHeight="1">
      <c r="A19" s="299">
        <v>853</v>
      </c>
      <c r="B19" s="299">
        <v>85333</v>
      </c>
      <c r="C19" s="298" t="s">
        <v>624</v>
      </c>
      <c r="D19" s="296">
        <f t="shared" si="0"/>
        <v>25000</v>
      </c>
      <c r="E19" s="296">
        <v>0</v>
      </c>
      <c r="F19" s="300">
        <f t="shared" si="1"/>
        <v>25000</v>
      </c>
      <c r="G19" s="300">
        <v>25000</v>
      </c>
      <c r="H19" s="300"/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297" t="s">
        <v>625</v>
      </c>
      <c r="O19" s="301"/>
    </row>
    <row r="20" spans="1:15" ht="29.25" customHeight="1">
      <c r="A20" s="299">
        <v>854</v>
      </c>
      <c r="B20" s="299">
        <v>85403</v>
      </c>
      <c r="C20" s="298" t="s">
        <v>626</v>
      </c>
      <c r="D20" s="296">
        <f t="shared" si="0"/>
        <v>199941</v>
      </c>
      <c r="E20" s="296">
        <v>20994</v>
      </c>
      <c r="F20" s="300">
        <f t="shared" si="1"/>
        <v>178947</v>
      </c>
      <c r="G20" s="300"/>
      <c r="H20" s="300"/>
      <c r="I20" s="300"/>
      <c r="J20" s="300">
        <v>178947</v>
      </c>
      <c r="K20" s="300"/>
      <c r="L20" s="300"/>
      <c r="M20" s="300"/>
      <c r="N20" s="295" t="s">
        <v>619</v>
      </c>
      <c r="O20" s="301"/>
    </row>
    <row r="21" spans="1:15" ht="29.25" customHeight="1">
      <c r="A21" s="299">
        <v>854</v>
      </c>
      <c r="B21" s="299">
        <v>85410</v>
      </c>
      <c r="C21" s="298" t="s">
        <v>627</v>
      </c>
      <c r="D21" s="300">
        <f t="shared" si="0"/>
        <v>639772</v>
      </c>
      <c r="E21" s="296">
        <v>13100</v>
      </c>
      <c r="F21" s="296">
        <f t="shared" si="1"/>
        <v>626672</v>
      </c>
      <c r="G21" s="300">
        <v>176672</v>
      </c>
      <c r="H21" s="300"/>
      <c r="I21" s="300">
        <v>0</v>
      </c>
      <c r="J21" s="300">
        <v>0</v>
      </c>
      <c r="K21" s="300">
        <v>450000</v>
      </c>
      <c r="L21" s="300">
        <v>0</v>
      </c>
      <c r="M21" s="300">
        <v>0</v>
      </c>
      <c r="N21" s="297" t="s">
        <v>628</v>
      </c>
      <c r="O21" s="301"/>
    </row>
    <row r="22" spans="1:15" ht="24" customHeight="1" thickBot="1">
      <c r="A22" s="302">
        <v>921</v>
      </c>
      <c r="B22" s="302">
        <v>92116</v>
      </c>
      <c r="C22" s="303" t="s">
        <v>629</v>
      </c>
      <c r="D22" s="304">
        <f t="shared" si="0"/>
        <v>65000</v>
      </c>
      <c r="E22" s="305">
        <v>0</v>
      </c>
      <c r="F22" s="296">
        <f t="shared" si="1"/>
        <v>65000</v>
      </c>
      <c r="G22" s="296">
        <v>0</v>
      </c>
      <c r="H22" s="296"/>
      <c r="I22" s="296">
        <v>0</v>
      </c>
      <c r="J22" s="296">
        <v>65000</v>
      </c>
      <c r="K22" s="296">
        <v>0</v>
      </c>
      <c r="L22" s="296">
        <v>0</v>
      </c>
      <c r="M22" s="296"/>
      <c r="N22" s="306" t="s">
        <v>614</v>
      </c>
      <c r="O22" s="301"/>
    </row>
    <row r="23" spans="1:14" s="32" customFormat="1" ht="18.75" customHeight="1" thickBot="1">
      <c r="A23" s="579" t="s">
        <v>630</v>
      </c>
      <c r="B23" s="580"/>
      <c r="C23" s="581"/>
      <c r="D23" s="307">
        <f t="shared" si="0"/>
        <v>15957426</v>
      </c>
      <c r="E23" s="307">
        <f>E9+E10+E11+E12+E13+E16+E17+E18+E19+E21+E22</f>
        <v>2665611</v>
      </c>
      <c r="F23" s="307">
        <f aca="true" t="shared" si="2" ref="F23:M23">F9+F10+F11+F12+F13+F14+F15+F16+F17+F18+F19+F20+F21+F22</f>
        <v>6833682</v>
      </c>
      <c r="G23" s="307">
        <f t="shared" si="2"/>
        <v>1052848</v>
      </c>
      <c r="H23" s="307">
        <f t="shared" si="2"/>
        <v>0</v>
      </c>
      <c r="I23" s="307">
        <f t="shared" si="2"/>
        <v>383000</v>
      </c>
      <c r="J23" s="307">
        <f t="shared" si="2"/>
        <v>1158067</v>
      </c>
      <c r="K23" s="307">
        <f t="shared" si="2"/>
        <v>4239767</v>
      </c>
      <c r="L23" s="307">
        <f t="shared" si="2"/>
        <v>5350797</v>
      </c>
      <c r="M23" s="307">
        <f t="shared" si="2"/>
        <v>1107336</v>
      </c>
      <c r="N23" s="307"/>
    </row>
    <row r="24" spans="1:11" ht="3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</row>
    <row r="25" spans="1:13" ht="12.75">
      <c r="A25" s="308"/>
      <c r="B25" s="308"/>
      <c r="C25" s="308"/>
      <c r="D25" s="308"/>
      <c r="E25" s="308"/>
      <c r="F25" s="308"/>
      <c r="G25" s="308"/>
      <c r="H25" s="308"/>
      <c r="I25" s="308"/>
      <c r="J25" s="573" t="s">
        <v>631</v>
      </c>
      <c r="K25" s="573"/>
      <c r="L25" s="573"/>
      <c r="M25" s="573"/>
    </row>
    <row r="26" spans="1:13" ht="27" customHeight="1">
      <c r="A26" s="308" t="s">
        <v>504</v>
      </c>
      <c r="B26" s="308"/>
      <c r="C26" s="308"/>
      <c r="D26" s="308"/>
      <c r="E26" s="308"/>
      <c r="F26" s="308"/>
      <c r="G26" s="308"/>
      <c r="H26" s="308"/>
      <c r="I26" s="308"/>
      <c r="J26" s="573" t="s">
        <v>632</v>
      </c>
      <c r="K26" s="573"/>
      <c r="L26" s="573"/>
      <c r="M26" s="573"/>
    </row>
    <row r="27" spans="1:11" ht="12.75" hidden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</row>
    <row r="28" spans="1:11" ht="12.75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</row>
    <row r="29" spans="1:11" ht="12.75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</row>
    <row r="30" spans="1:11" ht="12.75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</row>
    <row r="31" ht="12" customHeight="1"/>
    <row r="32" ht="12.75" hidden="1"/>
    <row r="33" ht="18" customHeight="1"/>
  </sheetData>
  <mergeCells count="16">
    <mergeCell ref="I2:N2"/>
    <mergeCell ref="A23:C23"/>
    <mergeCell ref="M5:M6"/>
    <mergeCell ref="N4:N6"/>
    <mergeCell ref="A3:N3"/>
    <mergeCell ref="A4:A6"/>
    <mergeCell ref="B4:B6"/>
    <mergeCell ref="G5:J5"/>
    <mergeCell ref="F4:M4"/>
    <mergeCell ref="E4:E6"/>
    <mergeCell ref="J25:M25"/>
    <mergeCell ref="J26:M26"/>
    <mergeCell ref="D4:D6"/>
    <mergeCell ref="C4:C6"/>
    <mergeCell ref="L5:L6"/>
    <mergeCell ref="F5:F6"/>
  </mergeCells>
  <printOptions/>
  <pageMargins left="0.1968503937007874" right="0.07874015748031496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C1">
      <selection activeCell="E1" sqref="E1:M1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5:13" ht="12.75" customHeight="1">
      <c r="E1" s="586" t="s">
        <v>785</v>
      </c>
      <c r="F1" s="586"/>
      <c r="G1" s="586"/>
      <c r="H1" s="586"/>
      <c r="I1" s="586"/>
      <c r="J1" s="586"/>
      <c r="K1" s="586"/>
      <c r="L1" s="586"/>
      <c r="M1" s="586"/>
    </row>
    <row r="2" ht="11.25" customHeight="1"/>
    <row r="3" ht="0.75" customHeight="1"/>
    <row r="4" spans="1:13" ht="15.75" customHeight="1" thickBot="1">
      <c r="A4" s="594" t="s">
        <v>633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13" ht="13.5" thickBot="1">
      <c r="A5" s="588" t="s">
        <v>0</v>
      </c>
      <c r="B5" s="588" t="s">
        <v>634</v>
      </c>
      <c r="C5" s="590" t="s">
        <v>635</v>
      </c>
      <c r="D5" s="592" t="s">
        <v>636</v>
      </c>
      <c r="E5" s="592"/>
      <c r="F5" s="592"/>
      <c r="G5" s="592"/>
      <c r="H5" s="592"/>
      <c r="I5" s="592"/>
      <c r="J5" s="592"/>
      <c r="K5" s="592"/>
      <c r="L5" s="592"/>
      <c r="M5" s="593"/>
    </row>
    <row r="6" spans="1:13" ht="46.5" customHeight="1" thickBot="1">
      <c r="A6" s="589"/>
      <c r="B6" s="589"/>
      <c r="C6" s="591"/>
      <c r="D6" s="309">
        <v>2006</v>
      </c>
      <c r="E6" s="309">
        <v>2007</v>
      </c>
      <c r="F6" s="309">
        <v>2008</v>
      </c>
      <c r="G6" s="309">
        <v>2009</v>
      </c>
      <c r="H6" s="309">
        <v>2010</v>
      </c>
      <c r="I6" s="309">
        <v>2011</v>
      </c>
      <c r="J6" s="309">
        <v>2012</v>
      </c>
      <c r="K6" s="310">
        <v>2013</v>
      </c>
      <c r="L6" s="310">
        <v>2014</v>
      </c>
      <c r="M6" s="309">
        <v>2015</v>
      </c>
    </row>
    <row r="7" spans="1:13" ht="13.5" thickBot="1">
      <c r="A7" s="311">
        <v>1</v>
      </c>
      <c r="B7" s="311">
        <v>2</v>
      </c>
      <c r="C7" s="312">
        <v>3</v>
      </c>
      <c r="D7" s="313">
        <v>5</v>
      </c>
      <c r="E7" s="314">
        <v>6</v>
      </c>
      <c r="F7" s="313">
        <v>7</v>
      </c>
      <c r="G7" s="313">
        <v>8</v>
      </c>
      <c r="H7" s="313">
        <v>9</v>
      </c>
      <c r="I7" s="313">
        <v>10</v>
      </c>
      <c r="J7" s="313">
        <v>11</v>
      </c>
      <c r="K7" s="315">
        <v>12</v>
      </c>
      <c r="L7" s="315">
        <v>13</v>
      </c>
      <c r="M7" s="312">
        <v>14</v>
      </c>
    </row>
    <row r="8" spans="1:13" ht="20.25" customHeight="1">
      <c r="A8" s="316" t="s">
        <v>23</v>
      </c>
      <c r="B8" s="317" t="s">
        <v>637</v>
      </c>
      <c r="C8" s="318">
        <v>8483700</v>
      </c>
      <c r="D8" s="319">
        <v>7377132</v>
      </c>
      <c r="E8" s="318">
        <v>6220564</v>
      </c>
      <c r="F8" s="318">
        <v>5046271</v>
      </c>
      <c r="G8" s="318">
        <v>3799703</v>
      </c>
      <c r="H8" s="318">
        <v>2743135</v>
      </c>
      <c r="I8" s="318">
        <v>1686567</v>
      </c>
      <c r="J8" s="319">
        <v>630000</v>
      </c>
      <c r="K8" s="318">
        <v>0</v>
      </c>
      <c r="L8" s="318">
        <v>0</v>
      </c>
      <c r="M8" s="318">
        <v>0</v>
      </c>
    </row>
    <row r="9" spans="1:13" ht="12.75">
      <c r="A9" s="320" t="s">
        <v>34</v>
      </c>
      <c r="B9" s="321" t="s">
        <v>638</v>
      </c>
      <c r="C9" s="322">
        <v>137600</v>
      </c>
      <c r="D9" s="323">
        <v>72000</v>
      </c>
      <c r="E9" s="322">
        <v>36000</v>
      </c>
      <c r="F9" s="322">
        <v>0</v>
      </c>
      <c r="G9" s="322">
        <v>0</v>
      </c>
      <c r="H9" s="322">
        <v>0</v>
      </c>
      <c r="I9" s="322">
        <v>0</v>
      </c>
      <c r="J9" s="323">
        <v>0</v>
      </c>
      <c r="K9" s="322">
        <v>0</v>
      </c>
      <c r="L9" s="322">
        <v>0</v>
      </c>
      <c r="M9" s="322">
        <v>0</v>
      </c>
    </row>
    <row r="10" spans="1:13" ht="12.75">
      <c r="A10" s="324" t="s">
        <v>41</v>
      </c>
      <c r="B10" s="321" t="s">
        <v>639</v>
      </c>
      <c r="C10" s="325">
        <v>300000</v>
      </c>
      <c r="D10" s="326">
        <v>2810887</v>
      </c>
      <c r="E10" s="325">
        <v>2228000</v>
      </c>
      <c r="F10" s="325">
        <v>1646000</v>
      </c>
      <c r="G10" s="325">
        <v>1064000</v>
      </c>
      <c r="H10" s="325">
        <v>482000</v>
      </c>
      <c r="I10" s="325">
        <v>0</v>
      </c>
      <c r="J10" s="326">
        <v>0</v>
      </c>
      <c r="K10" s="325">
        <v>0</v>
      </c>
      <c r="L10" s="325">
        <v>0</v>
      </c>
      <c r="M10" s="325">
        <v>0</v>
      </c>
    </row>
    <row r="11" spans="1:13" ht="21" customHeight="1">
      <c r="A11" s="320" t="s">
        <v>63</v>
      </c>
      <c r="B11" s="327" t="s">
        <v>640</v>
      </c>
      <c r="C11" s="322">
        <v>1887123</v>
      </c>
      <c r="D11" s="323"/>
      <c r="E11" s="322">
        <v>0</v>
      </c>
      <c r="F11" s="322"/>
      <c r="G11" s="322"/>
      <c r="H11" s="322"/>
      <c r="I11" s="322"/>
      <c r="J11" s="323"/>
      <c r="K11" s="322"/>
      <c r="L11" s="322"/>
      <c r="M11" s="322">
        <v>0</v>
      </c>
    </row>
    <row r="12" spans="1:13" ht="20.25" customHeight="1">
      <c r="A12" s="320">
        <v>5</v>
      </c>
      <c r="B12" s="327" t="s">
        <v>641</v>
      </c>
      <c r="C12" s="322">
        <v>356000</v>
      </c>
      <c r="D12" s="323">
        <v>739000</v>
      </c>
      <c r="E12" s="322">
        <v>1073439</v>
      </c>
      <c r="F12" s="322">
        <v>1058439</v>
      </c>
      <c r="G12" s="322">
        <v>882035</v>
      </c>
      <c r="H12" s="322">
        <v>705631</v>
      </c>
      <c r="I12" s="322">
        <v>529227</v>
      </c>
      <c r="J12" s="323">
        <v>352823</v>
      </c>
      <c r="K12" s="322">
        <v>176419</v>
      </c>
      <c r="L12" s="322">
        <v>0</v>
      </c>
      <c r="M12" s="322">
        <v>0</v>
      </c>
    </row>
    <row r="13" spans="1:13" ht="22.5">
      <c r="A13" s="328">
        <v>6</v>
      </c>
      <c r="B13" s="327" t="s">
        <v>642</v>
      </c>
      <c r="C13" s="329">
        <v>0</v>
      </c>
      <c r="D13" s="330">
        <v>180892</v>
      </c>
      <c r="E13" s="329">
        <v>196326</v>
      </c>
      <c r="F13" s="329">
        <v>279877</v>
      </c>
      <c r="G13" s="329">
        <v>191985</v>
      </c>
      <c r="H13" s="329">
        <v>214251</v>
      </c>
      <c r="I13" s="329">
        <v>280968</v>
      </c>
      <c r="J13" s="330">
        <v>1099598</v>
      </c>
      <c r="K13" s="329">
        <v>105398</v>
      </c>
      <c r="L13" s="329">
        <v>102446</v>
      </c>
      <c r="M13" s="329">
        <v>36982</v>
      </c>
    </row>
    <row r="14" spans="1:13" ht="18.75" customHeight="1">
      <c r="A14" s="331">
        <v>7</v>
      </c>
      <c r="B14" s="332" t="s">
        <v>643</v>
      </c>
      <c r="C14" s="329">
        <f>C15+C16+C17+C18</f>
        <v>0</v>
      </c>
      <c r="D14" s="330">
        <v>0</v>
      </c>
      <c r="E14" s="329">
        <v>0</v>
      </c>
      <c r="F14" s="329">
        <v>0</v>
      </c>
      <c r="G14" s="329">
        <v>0</v>
      </c>
      <c r="H14" s="329">
        <v>0</v>
      </c>
      <c r="I14" s="329">
        <v>0</v>
      </c>
      <c r="J14" s="330">
        <v>0</v>
      </c>
      <c r="K14" s="329">
        <v>0</v>
      </c>
      <c r="L14" s="329">
        <v>0</v>
      </c>
      <c r="M14" s="329">
        <v>0</v>
      </c>
    </row>
    <row r="15" spans="1:13" ht="11.25" customHeight="1">
      <c r="A15" s="328"/>
      <c r="B15" s="333" t="s">
        <v>644</v>
      </c>
      <c r="C15" s="329">
        <v>0</v>
      </c>
      <c r="D15" s="330">
        <v>0</v>
      </c>
      <c r="E15" s="329">
        <v>0</v>
      </c>
      <c r="F15" s="329">
        <v>0</v>
      </c>
      <c r="G15" s="329">
        <v>0</v>
      </c>
      <c r="H15" s="329">
        <v>0</v>
      </c>
      <c r="I15" s="329">
        <v>0</v>
      </c>
      <c r="J15" s="330">
        <v>0</v>
      </c>
      <c r="K15" s="329">
        <v>0</v>
      </c>
      <c r="L15" s="329">
        <v>0</v>
      </c>
      <c r="M15" s="329">
        <v>0</v>
      </c>
    </row>
    <row r="16" spans="1:13" ht="11.25" customHeight="1">
      <c r="A16" s="328"/>
      <c r="B16" s="333" t="s">
        <v>645</v>
      </c>
      <c r="C16" s="329">
        <v>0</v>
      </c>
      <c r="D16" s="330">
        <v>0</v>
      </c>
      <c r="E16" s="329">
        <v>0</v>
      </c>
      <c r="F16" s="329">
        <v>0</v>
      </c>
      <c r="G16" s="329">
        <v>0</v>
      </c>
      <c r="H16" s="329">
        <v>0</v>
      </c>
      <c r="I16" s="329">
        <v>0</v>
      </c>
      <c r="J16" s="330">
        <v>0</v>
      </c>
      <c r="K16" s="329">
        <v>0</v>
      </c>
      <c r="L16" s="329">
        <v>0</v>
      </c>
      <c r="M16" s="329">
        <v>0</v>
      </c>
    </row>
    <row r="17" spans="1:13" ht="10.5" customHeight="1">
      <c r="A17" s="328"/>
      <c r="B17" s="333" t="s">
        <v>646</v>
      </c>
      <c r="C17" s="329">
        <v>0</v>
      </c>
      <c r="D17" s="330">
        <v>0</v>
      </c>
      <c r="E17" s="329">
        <v>0</v>
      </c>
      <c r="F17" s="329">
        <v>0</v>
      </c>
      <c r="G17" s="329">
        <v>0</v>
      </c>
      <c r="H17" s="329">
        <v>0</v>
      </c>
      <c r="I17" s="329">
        <v>0</v>
      </c>
      <c r="J17" s="330">
        <v>0</v>
      </c>
      <c r="K17" s="329">
        <v>0</v>
      </c>
      <c r="L17" s="329">
        <v>0</v>
      </c>
      <c r="M17" s="329">
        <v>0</v>
      </c>
    </row>
    <row r="18" spans="1:13" ht="10.5" customHeight="1">
      <c r="A18" s="328"/>
      <c r="B18" s="333" t="s">
        <v>647</v>
      </c>
      <c r="C18" s="329">
        <v>0</v>
      </c>
      <c r="D18" s="330">
        <v>0</v>
      </c>
      <c r="E18" s="329">
        <v>0</v>
      </c>
      <c r="F18" s="329">
        <v>0</v>
      </c>
      <c r="G18" s="329">
        <v>0</v>
      </c>
      <c r="H18" s="329">
        <v>0</v>
      </c>
      <c r="I18" s="329">
        <v>0</v>
      </c>
      <c r="J18" s="330">
        <v>0</v>
      </c>
      <c r="K18" s="329">
        <v>0</v>
      </c>
      <c r="L18" s="329">
        <v>0</v>
      </c>
      <c r="M18" s="329">
        <v>0</v>
      </c>
    </row>
    <row r="19" spans="1:13" ht="12.75">
      <c r="A19" s="320">
        <v>8</v>
      </c>
      <c r="B19" s="321" t="s">
        <v>648</v>
      </c>
      <c r="C19" s="322">
        <v>11164423</v>
      </c>
      <c r="D19" s="323">
        <f aca="true" t="shared" si="0" ref="D19:M19">D8+D9+D10+D11+D12+D13+D14</f>
        <v>11179911</v>
      </c>
      <c r="E19" s="322">
        <f t="shared" si="0"/>
        <v>9754329</v>
      </c>
      <c r="F19" s="322">
        <f t="shared" si="0"/>
        <v>8030587</v>
      </c>
      <c r="G19" s="322">
        <f t="shared" si="0"/>
        <v>5937723</v>
      </c>
      <c r="H19" s="322">
        <f t="shared" si="0"/>
        <v>4145017</v>
      </c>
      <c r="I19" s="322">
        <f t="shared" si="0"/>
        <v>2496762</v>
      </c>
      <c r="J19" s="322">
        <f t="shared" si="0"/>
        <v>2082421</v>
      </c>
      <c r="K19" s="322">
        <f t="shared" si="0"/>
        <v>281817</v>
      </c>
      <c r="L19" s="322">
        <f t="shared" si="0"/>
        <v>102446</v>
      </c>
      <c r="M19" s="322">
        <f t="shared" si="0"/>
        <v>36982</v>
      </c>
    </row>
    <row r="20" spans="1:13" ht="13.5" thickBot="1">
      <c r="A20" s="324">
        <v>9</v>
      </c>
      <c r="B20" s="334" t="s">
        <v>649</v>
      </c>
      <c r="C20" s="335">
        <v>30327932</v>
      </c>
      <c r="D20" s="336">
        <f>'z7'!D9</f>
        <v>33154418</v>
      </c>
      <c r="E20" s="337">
        <v>31631000</v>
      </c>
      <c r="F20" s="337">
        <v>30145000</v>
      </c>
      <c r="G20" s="337">
        <v>29600000</v>
      </c>
      <c r="H20" s="337">
        <v>29200000</v>
      </c>
      <c r="I20" s="337">
        <v>29400000</v>
      </c>
      <c r="J20" s="338">
        <v>29500000</v>
      </c>
      <c r="K20" s="337">
        <v>29600000</v>
      </c>
      <c r="L20" s="337">
        <v>29700000</v>
      </c>
      <c r="M20" s="337">
        <v>30000000</v>
      </c>
    </row>
    <row r="21" spans="1:13" ht="23.25" thickBot="1">
      <c r="A21" s="339">
        <v>10</v>
      </c>
      <c r="B21" s="340" t="s">
        <v>650</v>
      </c>
      <c r="C21" s="341">
        <f>C19/C20</f>
        <v>0.3681234513451164</v>
      </c>
      <c r="D21" s="342">
        <f>D19/D20</f>
        <v>0.33720727656869137</v>
      </c>
      <c r="E21" s="341">
        <f>E19/E20</f>
        <v>0.3083787739875439</v>
      </c>
      <c r="F21" s="341">
        <f>F19/F20</f>
        <v>0.2663986399071156</v>
      </c>
      <c r="G21" s="341">
        <v>0.1808</v>
      </c>
      <c r="H21" s="341">
        <f aca="true" t="shared" si="1" ref="H21:M21">H19/H20</f>
        <v>0.14195263698630137</v>
      </c>
      <c r="I21" s="341">
        <f t="shared" si="1"/>
        <v>0.0849238775510204</v>
      </c>
      <c r="J21" s="343">
        <f t="shared" si="1"/>
        <v>0.07059054237288136</v>
      </c>
      <c r="K21" s="343">
        <f t="shared" si="1"/>
        <v>0.009520844594594595</v>
      </c>
      <c r="L21" s="343">
        <f t="shared" si="1"/>
        <v>0.003449360269360269</v>
      </c>
      <c r="M21" s="343">
        <f t="shared" si="1"/>
        <v>0.0012327333333333333</v>
      </c>
    </row>
    <row r="22" spans="1:13" ht="13.5" thickBot="1">
      <c r="A22" s="344"/>
      <c r="B22" s="345"/>
      <c r="C22" s="346"/>
      <c r="D22" s="347"/>
      <c r="E22" s="348"/>
      <c r="F22" s="348"/>
      <c r="G22" s="348"/>
      <c r="H22" s="348"/>
      <c r="I22" s="348"/>
      <c r="J22" s="349"/>
      <c r="K22" s="349"/>
      <c r="L22" s="349"/>
      <c r="M22" s="349"/>
    </row>
    <row r="23" spans="1:13" ht="3" customHeight="1">
      <c r="A23" s="350"/>
      <c r="B23" s="351"/>
      <c r="C23" s="352"/>
      <c r="D23" s="352"/>
      <c r="E23" s="352"/>
      <c r="F23" s="352"/>
      <c r="G23" s="352"/>
      <c r="H23" s="351"/>
      <c r="I23" s="353"/>
      <c r="J23" s="353"/>
      <c r="K23" s="353"/>
      <c r="L23" s="353"/>
      <c r="M23" s="351"/>
    </row>
    <row r="24" spans="1:13" ht="22.5">
      <c r="A24" s="353"/>
      <c r="B24" s="66" t="s">
        <v>651</v>
      </c>
      <c r="C24" s="185">
        <v>1086568</v>
      </c>
      <c r="D24" s="185">
        <v>1106568</v>
      </c>
      <c r="E24" s="354">
        <v>1156568</v>
      </c>
      <c r="F24" s="354">
        <v>1174293</v>
      </c>
      <c r="G24" s="354">
        <v>1246568</v>
      </c>
      <c r="H24" s="185">
        <v>1056568</v>
      </c>
      <c r="I24" s="185">
        <v>1056568</v>
      </c>
      <c r="J24" s="185">
        <v>1056567</v>
      </c>
      <c r="K24" s="355">
        <v>630000</v>
      </c>
      <c r="L24" s="355">
        <v>0</v>
      </c>
      <c r="M24" s="185">
        <v>0</v>
      </c>
    </row>
    <row r="25" spans="1:13" ht="22.5" customHeight="1">
      <c r="A25" s="353"/>
      <c r="B25" s="356" t="s">
        <v>652</v>
      </c>
      <c r="C25" s="357">
        <v>56400</v>
      </c>
      <c r="D25" s="357">
        <v>36000</v>
      </c>
      <c r="E25" s="357">
        <v>36000</v>
      </c>
      <c r="F25" s="357">
        <v>36000</v>
      </c>
      <c r="G25" s="358">
        <v>0</v>
      </c>
      <c r="H25" s="358">
        <v>0</v>
      </c>
      <c r="I25" s="357">
        <v>0</v>
      </c>
      <c r="J25" s="185">
        <v>0</v>
      </c>
      <c r="K25" s="355">
        <v>0</v>
      </c>
      <c r="L25" s="355">
        <v>0</v>
      </c>
      <c r="M25" s="185">
        <v>0</v>
      </c>
    </row>
    <row r="26" spans="1:13" ht="22.5">
      <c r="A26" s="353"/>
      <c r="B26" s="356" t="s">
        <v>653</v>
      </c>
      <c r="C26" s="357">
        <v>0</v>
      </c>
      <c r="D26" s="357">
        <v>300000</v>
      </c>
      <c r="E26" s="357">
        <v>615200</v>
      </c>
      <c r="F26" s="357">
        <v>615200</v>
      </c>
      <c r="G26" s="357">
        <v>615200</v>
      </c>
      <c r="H26" s="357">
        <v>615200</v>
      </c>
      <c r="I26" s="357">
        <v>483561</v>
      </c>
      <c r="J26" s="357">
        <v>0</v>
      </c>
      <c r="K26" s="355">
        <v>0</v>
      </c>
      <c r="L26" s="355">
        <v>0</v>
      </c>
      <c r="M26" s="185">
        <v>0</v>
      </c>
    </row>
    <row r="27" spans="1:13" ht="22.5">
      <c r="A27" s="353"/>
      <c r="B27" s="356" t="s">
        <v>705</v>
      </c>
      <c r="C27" s="358">
        <v>0</v>
      </c>
      <c r="D27" s="357">
        <v>1887123</v>
      </c>
      <c r="E27" s="357">
        <v>0</v>
      </c>
      <c r="F27" s="357">
        <v>0</v>
      </c>
      <c r="G27" s="357">
        <v>0</v>
      </c>
      <c r="H27" s="357">
        <v>0</v>
      </c>
      <c r="I27" s="357">
        <v>0</v>
      </c>
      <c r="J27" s="357">
        <v>0</v>
      </c>
      <c r="K27" s="355">
        <v>0</v>
      </c>
      <c r="L27" s="355">
        <v>0</v>
      </c>
      <c r="M27" s="185">
        <v>0</v>
      </c>
    </row>
    <row r="28" spans="1:13" ht="22.5">
      <c r="A28" s="353"/>
      <c r="B28" s="356" t="s">
        <v>654</v>
      </c>
      <c r="C28" s="358">
        <v>0</v>
      </c>
      <c r="D28" s="357">
        <v>0</v>
      </c>
      <c r="E28" s="357">
        <v>0</v>
      </c>
      <c r="F28" s="357">
        <v>15000</v>
      </c>
      <c r="G28" s="357">
        <v>176404</v>
      </c>
      <c r="H28" s="357">
        <v>176404</v>
      </c>
      <c r="I28" s="357">
        <v>176404</v>
      </c>
      <c r="J28" s="357">
        <v>176404</v>
      </c>
      <c r="K28" s="355">
        <v>176404</v>
      </c>
      <c r="L28" s="355">
        <v>176419</v>
      </c>
      <c r="M28" s="185">
        <v>0</v>
      </c>
    </row>
    <row r="29" spans="1:13" ht="18.75" customHeight="1">
      <c r="A29" s="595" t="s">
        <v>655</v>
      </c>
      <c r="B29" s="596"/>
      <c r="C29" s="359">
        <f aca="true" t="shared" si="2" ref="C29:M29">C24+C25+C26+C27+C28</f>
        <v>1142968</v>
      </c>
      <c r="D29" s="359">
        <f t="shared" si="2"/>
        <v>3329691</v>
      </c>
      <c r="E29" s="359">
        <f t="shared" si="2"/>
        <v>1807768</v>
      </c>
      <c r="F29" s="359">
        <f t="shared" si="2"/>
        <v>1840493</v>
      </c>
      <c r="G29" s="359">
        <f t="shared" si="2"/>
        <v>2038172</v>
      </c>
      <c r="H29" s="359">
        <f t="shared" si="2"/>
        <v>1848172</v>
      </c>
      <c r="I29" s="359">
        <f t="shared" si="2"/>
        <v>1716533</v>
      </c>
      <c r="J29" s="359">
        <f t="shared" si="2"/>
        <v>1232971</v>
      </c>
      <c r="K29" s="359">
        <f t="shared" si="2"/>
        <v>806404</v>
      </c>
      <c r="L29" s="359">
        <f t="shared" si="2"/>
        <v>176419</v>
      </c>
      <c r="M29" s="359">
        <f t="shared" si="2"/>
        <v>0</v>
      </c>
    </row>
    <row r="30" spans="1:13" ht="18.75" customHeight="1">
      <c r="A30" s="353"/>
      <c r="B30" s="360"/>
      <c r="C30" s="256"/>
      <c r="D30" s="361"/>
      <c r="E30" s="361"/>
      <c r="F30" s="361"/>
      <c r="G30" s="361"/>
      <c r="H30" s="362"/>
      <c r="I30" s="362"/>
      <c r="J30" s="353"/>
      <c r="K30" s="353"/>
      <c r="L30" s="353"/>
      <c r="M30" s="353"/>
    </row>
    <row r="31" spans="1:13" ht="16.5" customHeight="1">
      <c r="A31" s="353"/>
      <c r="B31" s="353"/>
      <c r="C31" s="353"/>
      <c r="D31" s="353"/>
      <c r="E31" s="353"/>
      <c r="F31" s="353"/>
      <c r="G31" s="587" t="s">
        <v>656</v>
      </c>
      <c r="H31" s="587"/>
      <c r="I31" s="587"/>
      <c r="J31" s="587"/>
      <c r="K31" s="587"/>
      <c r="L31" s="587"/>
      <c r="M31" s="587"/>
    </row>
    <row r="32" ht="16.5" customHeight="1"/>
    <row r="33" spans="9:11" ht="12.75" hidden="1">
      <c r="I33" s="415" t="s">
        <v>495</v>
      </c>
      <c r="J33" s="415"/>
      <c r="K33" s="415"/>
    </row>
  </sheetData>
  <mergeCells count="9">
    <mergeCell ref="I33:K33"/>
    <mergeCell ref="E1:M1"/>
    <mergeCell ref="G31:M31"/>
    <mergeCell ref="A5:A6"/>
    <mergeCell ref="B5:B6"/>
    <mergeCell ref="C5:C6"/>
    <mergeCell ref="D5:M5"/>
    <mergeCell ref="A4:M4"/>
    <mergeCell ref="A29:B29"/>
  </mergeCells>
  <printOptions/>
  <pageMargins left="0.5905511811023623" right="0.5905511811023623" top="0.35433070866141736" bottom="0.31496062992125984" header="0.3937007874015748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E2" sqref="E2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597" t="s">
        <v>786</v>
      </c>
      <c r="D2" s="597"/>
      <c r="E2" s="363"/>
      <c r="F2" s="363"/>
    </row>
    <row r="3" spans="1:9" ht="15.75">
      <c r="A3" s="599" t="s">
        <v>657</v>
      </c>
      <c r="B3" s="599"/>
      <c r="C3" s="599"/>
      <c r="D3" s="599"/>
      <c r="E3" s="599"/>
      <c r="F3" s="599"/>
      <c r="G3" s="599"/>
      <c r="H3" s="599"/>
      <c r="I3" s="599"/>
    </row>
    <row r="4" spans="1:9" ht="15.75">
      <c r="A4" s="364"/>
      <c r="B4" s="364"/>
      <c r="C4" s="364"/>
      <c r="D4" s="364"/>
      <c r="E4" s="364"/>
      <c r="F4" s="364"/>
      <c r="G4" s="364"/>
      <c r="H4" s="364"/>
      <c r="I4" s="364"/>
    </row>
    <row r="5" ht="13.5" thickBot="1"/>
    <row r="6" spans="1:9" ht="24.75" customHeight="1">
      <c r="A6" s="604" t="s">
        <v>0</v>
      </c>
      <c r="B6" s="602" t="s">
        <v>658</v>
      </c>
      <c r="C6" s="600" t="s">
        <v>659</v>
      </c>
      <c r="D6" s="606" t="s">
        <v>8</v>
      </c>
      <c r="E6" s="283"/>
      <c r="F6" s="283"/>
      <c r="G6" s="598"/>
      <c r="H6" s="598"/>
      <c r="I6" s="598"/>
    </row>
    <row r="7" spans="1:9" ht="18.75" customHeight="1" thickBot="1">
      <c r="A7" s="605"/>
      <c r="B7" s="603"/>
      <c r="C7" s="601"/>
      <c r="D7" s="607"/>
      <c r="E7" s="283"/>
      <c r="F7" s="283"/>
      <c r="G7" s="598"/>
      <c r="H7" s="598"/>
      <c r="I7" s="598"/>
    </row>
    <row r="8" spans="1:6" ht="13.5" customHeight="1" thickBot="1">
      <c r="A8" s="366">
        <v>1</v>
      </c>
      <c r="B8" s="367">
        <v>2</v>
      </c>
      <c r="C8" s="368">
        <v>3</v>
      </c>
      <c r="D8" s="369">
        <v>5</v>
      </c>
      <c r="E8" s="370"/>
      <c r="F8" s="370"/>
    </row>
    <row r="9" spans="1:6" ht="18" customHeight="1" thickBot="1">
      <c r="A9" s="234" t="s">
        <v>660</v>
      </c>
      <c r="B9" s="371" t="s">
        <v>661</v>
      </c>
      <c r="C9" s="371"/>
      <c r="D9" s="372">
        <f>'[1]Z1'!V168</f>
        <v>33154418</v>
      </c>
      <c r="E9" s="32"/>
      <c r="F9" s="32"/>
    </row>
    <row r="10" spans="1:6" ht="18" customHeight="1" thickBot="1">
      <c r="A10" s="165" t="s">
        <v>662</v>
      </c>
      <c r="B10" s="373" t="s">
        <v>663</v>
      </c>
      <c r="C10" s="373"/>
      <c r="D10" s="374">
        <f>'[1]Z 2'!N481</f>
        <v>32670802</v>
      </c>
      <c r="E10" s="32"/>
      <c r="F10" s="32"/>
    </row>
    <row r="11" spans="1:6" ht="12.75">
      <c r="A11" s="375"/>
      <c r="B11" s="376" t="s">
        <v>664</v>
      </c>
      <c r="C11" s="149"/>
      <c r="D11" s="377">
        <f>D9-D10</f>
        <v>483616</v>
      </c>
      <c r="E11" s="32"/>
      <c r="F11" s="32"/>
    </row>
    <row r="12" spans="1:6" ht="15.75" customHeight="1" thickBot="1">
      <c r="A12" s="378"/>
      <c r="B12" s="379" t="s">
        <v>665</v>
      </c>
      <c r="C12" s="379"/>
      <c r="D12" s="380">
        <f>D13-D22</f>
        <v>-483616</v>
      </c>
      <c r="E12" s="32"/>
      <c r="F12" s="32"/>
    </row>
    <row r="13" spans="1:6" ht="15.75" customHeight="1" thickBot="1">
      <c r="A13" s="165" t="s">
        <v>666</v>
      </c>
      <c r="B13" s="381" t="s">
        <v>667</v>
      </c>
      <c r="C13" s="374"/>
      <c r="D13" s="382">
        <f>D14+D15+D16+D17+D18+D19+D20+D21</f>
        <v>2846075</v>
      </c>
      <c r="E13" s="120"/>
      <c r="F13" s="120"/>
    </row>
    <row r="14" spans="1:6" ht="12.75">
      <c r="A14" s="383" t="s">
        <v>23</v>
      </c>
      <c r="B14" s="376" t="s">
        <v>668</v>
      </c>
      <c r="C14" s="375" t="s">
        <v>669</v>
      </c>
      <c r="D14" s="377">
        <v>2805411</v>
      </c>
      <c r="E14" s="32"/>
      <c r="F14" s="32"/>
    </row>
    <row r="15" spans="1:6" ht="16.5" customHeight="1">
      <c r="A15" s="111" t="s">
        <v>34</v>
      </c>
      <c r="B15" s="37" t="s">
        <v>670</v>
      </c>
      <c r="C15" s="223" t="s">
        <v>669</v>
      </c>
      <c r="D15" s="384">
        <v>0</v>
      </c>
      <c r="E15" s="32"/>
      <c r="F15" s="32"/>
    </row>
    <row r="16" spans="1:6" ht="37.5" customHeight="1">
      <c r="A16" s="111" t="s">
        <v>41</v>
      </c>
      <c r="B16" s="75" t="s">
        <v>671</v>
      </c>
      <c r="C16" s="223" t="s">
        <v>672</v>
      </c>
      <c r="D16" s="384">
        <v>0</v>
      </c>
      <c r="E16" s="32"/>
      <c r="F16" s="32"/>
    </row>
    <row r="17" spans="1:6" ht="16.5" customHeight="1">
      <c r="A17" s="111" t="s">
        <v>63</v>
      </c>
      <c r="B17" s="37" t="s">
        <v>673</v>
      </c>
      <c r="C17" s="223" t="s">
        <v>674</v>
      </c>
      <c r="D17" s="384">
        <v>0</v>
      </c>
      <c r="E17" s="32"/>
      <c r="F17" s="32"/>
    </row>
    <row r="18" spans="1:6" ht="18" customHeight="1">
      <c r="A18" s="111" t="s">
        <v>70</v>
      </c>
      <c r="B18" s="37" t="s">
        <v>675</v>
      </c>
      <c r="C18" s="223" t="s">
        <v>676</v>
      </c>
      <c r="D18" s="384">
        <v>0</v>
      </c>
      <c r="E18" s="32"/>
      <c r="F18" s="32"/>
    </row>
    <row r="19" spans="1:6" ht="18.75" customHeight="1">
      <c r="A19" s="111" t="s">
        <v>76</v>
      </c>
      <c r="B19" s="75" t="s">
        <v>677</v>
      </c>
      <c r="C19" s="223" t="s">
        <v>678</v>
      </c>
      <c r="D19" s="384">
        <v>0</v>
      </c>
      <c r="E19" s="32"/>
      <c r="F19" s="32"/>
    </row>
    <row r="20" spans="1:6" ht="18.75" customHeight="1">
      <c r="A20" s="111" t="s">
        <v>85</v>
      </c>
      <c r="B20" s="75" t="s">
        <v>679</v>
      </c>
      <c r="C20" s="223" t="s">
        <v>680</v>
      </c>
      <c r="D20" s="384">
        <v>0</v>
      </c>
      <c r="E20" s="32"/>
      <c r="F20" s="32"/>
    </row>
    <row r="21" spans="1:6" ht="13.5" thickBot="1">
      <c r="A21" s="239" t="s">
        <v>96</v>
      </c>
      <c r="B21" s="385" t="s">
        <v>681</v>
      </c>
      <c r="C21" s="240" t="s">
        <v>674</v>
      </c>
      <c r="D21" s="380">
        <v>40664</v>
      </c>
      <c r="E21" s="32"/>
      <c r="F21" s="32"/>
    </row>
    <row r="22" spans="1:6" ht="15.75" customHeight="1" thickBot="1">
      <c r="A22" s="165" t="s">
        <v>682</v>
      </c>
      <c r="B22" s="386" t="s">
        <v>683</v>
      </c>
      <c r="C22" s="367"/>
      <c r="D22" s="382">
        <f>D23+D24+D25+D26+D27+D28+D29</f>
        <v>3329691</v>
      </c>
      <c r="E22" s="120"/>
      <c r="F22" s="120"/>
    </row>
    <row r="23" spans="1:6" ht="15.75" customHeight="1">
      <c r="A23" s="387" t="s">
        <v>23</v>
      </c>
      <c r="B23" s="388" t="s">
        <v>684</v>
      </c>
      <c r="C23" s="389" t="s">
        <v>685</v>
      </c>
      <c r="D23" s="390">
        <v>1406568</v>
      </c>
      <c r="E23" s="32"/>
      <c r="F23" s="32"/>
    </row>
    <row r="24" spans="1:6" ht="15.75" customHeight="1">
      <c r="A24" s="111" t="s">
        <v>34</v>
      </c>
      <c r="B24" s="37" t="s">
        <v>686</v>
      </c>
      <c r="C24" s="223" t="s">
        <v>687</v>
      </c>
      <c r="D24" s="384">
        <v>0</v>
      </c>
      <c r="E24" s="32"/>
      <c r="F24" s="32"/>
    </row>
    <row r="25" spans="1:6" ht="15.75" customHeight="1">
      <c r="A25" s="111" t="s">
        <v>41</v>
      </c>
      <c r="B25" s="37" t="s">
        <v>688</v>
      </c>
      <c r="C25" s="223" t="s">
        <v>685</v>
      </c>
      <c r="D25" s="384">
        <v>36000</v>
      </c>
      <c r="E25" s="32"/>
      <c r="F25" s="32"/>
    </row>
    <row r="26" spans="1:6" ht="39" customHeight="1">
      <c r="A26" s="111" t="s">
        <v>63</v>
      </c>
      <c r="B26" s="75" t="s">
        <v>689</v>
      </c>
      <c r="C26" s="223" t="s">
        <v>690</v>
      </c>
      <c r="D26" s="384">
        <v>1887123</v>
      </c>
      <c r="E26" s="32"/>
      <c r="F26" s="32"/>
    </row>
    <row r="27" spans="1:12" ht="15.75" customHeight="1">
      <c r="A27" s="111" t="s">
        <v>70</v>
      </c>
      <c r="B27" s="37" t="s">
        <v>691</v>
      </c>
      <c r="C27" s="223" t="s">
        <v>692</v>
      </c>
      <c r="D27" s="384">
        <v>0</v>
      </c>
      <c r="E27" s="32"/>
      <c r="F27" s="32"/>
      <c r="L27" s="32"/>
    </row>
    <row r="28" spans="1:6" ht="15.75" customHeight="1">
      <c r="A28" s="111" t="s">
        <v>76</v>
      </c>
      <c r="B28" s="37" t="s">
        <v>693</v>
      </c>
      <c r="C28" s="223" t="s">
        <v>694</v>
      </c>
      <c r="D28" s="384">
        <v>0</v>
      </c>
      <c r="E28" s="32"/>
      <c r="F28" s="32"/>
    </row>
    <row r="29" spans="1:6" ht="15.75" customHeight="1" thickBot="1">
      <c r="A29" s="391" t="s">
        <v>85</v>
      </c>
      <c r="B29" s="153" t="s">
        <v>695</v>
      </c>
      <c r="C29" s="392" t="s">
        <v>696</v>
      </c>
      <c r="D29" s="393">
        <v>0</v>
      </c>
      <c r="E29" s="32"/>
      <c r="F29" s="32"/>
    </row>
    <row r="30" spans="1:6" ht="24.75" customHeight="1">
      <c r="A30" s="395" t="s">
        <v>697</v>
      </c>
      <c r="B30" s="396" t="s">
        <v>698</v>
      </c>
      <c r="C30" s="397"/>
      <c r="D30" s="398">
        <f>D22</f>
        <v>3329691</v>
      </c>
      <c r="E30" s="32"/>
      <c r="F30" s="32"/>
    </row>
    <row r="31" spans="1:6" ht="24" customHeight="1">
      <c r="A31" s="239" t="s">
        <v>699</v>
      </c>
      <c r="B31" s="399" t="s">
        <v>700</v>
      </c>
      <c r="C31" s="240"/>
      <c r="D31" s="380">
        <f>D9-D30</f>
        <v>29824727</v>
      </c>
      <c r="E31" s="32"/>
      <c r="F31" s="32"/>
    </row>
    <row r="32" spans="1:6" ht="24.75" customHeight="1">
      <c r="A32" s="239" t="s">
        <v>701</v>
      </c>
      <c r="B32" s="399" t="s">
        <v>702</v>
      </c>
      <c r="C32" s="240"/>
      <c r="D32" s="380">
        <f>D10-D31</f>
        <v>2846075</v>
      </c>
      <c r="E32" s="32"/>
      <c r="F32" s="32"/>
    </row>
    <row r="33" spans="1:6" ht="40.5" customHeight="1" thickBot="1">
      <c r="A33" s="391" t="s">
        <v>703</v>
      </c>
      <c r="B33" s="400" t="s">
        <v>704</v>
      </c>
      <c r="C33" s="392"/>
      <c r="D33" s="393">
        <f>D13</f>
        <v>2846075</v>
      </c>
      <c r="E33" s="32"/>
      <c r="F33" s="32"/>
    </row>
    <row r="37" ht="30.75" customHeight="1">
      <c r="C37" t="s">
        <v>197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L5" sqref="L5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415"/>
      <c r="F1" s="415"/>
      <c r="G1" s="415"/>
      <c r="H1" s="415"/>
      <c r="I1" s="415"/>
      <c r="J1" s="415"/>
      <c r="K1" s="415"/>
    </row>
    <row r="2" spans="3:11" ht="34.5" customHeight="1">
      <c r="C2" s="611" t="s">
        <v>787</v>
      </c>
      <c r="D2" s="611"/>
      <c r="E2" s="611"/>
      <c r="F2" s="611"/>
      <c r="G2" s="611"/>
      <c r="H2" s="611"/>
      <c r="I2" s="611"/>
      <c r="J2" s="611"/>
      <c r="K2" s="611"/>
    </row>
    <row r="3" spans="3:11" ht="21" customHeight="1">
      <c r="C3" s="401"/>
      <c r="D3" s="401"/>
      <c r="E3" s="401"/>
      <c r="F3" s="401"/>
      <c r="G3" s="401"/>
      <c r="H3" s="401"/>
      <c r="I3" s="401"/>
      <c r="J3" s="401"/>
      <c r="K3" s="401"/>
    </row>
    <row r="4" spans="3:11" ht="24.75" customHeight="1">
      <c r="C4" s="621"/>
      <c r="D4" s="621"/>
      <c r="E4" s="621"/>
      <c r="F4" s="621"/>
      <c r="G4" s="621"/>
      <c r="H4" s="621"/>
      <c r="I4" s="621"/>
      <c r="J4" s="621"/>
      <c r="K4" s="621"/>
    </row>
    <row r="5" spans="1:11" ht="46.5" customHeight="1">
      <c r="A5" s="612" t="s">
        <v>706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</row>
    <row r="6" spans="1:11" ht="12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39" customHeight="1">
      <c r="A7" s="609" t="s">
        <v>707</v>
      </c>
      <c r="B7" s="609" t="s">
        <v>708</v>
      </c>
      <c r="C7" s="617" t="s">
        <v>709</v>
      </c>
      <c r="D7" s="618"/>
      <c r="E7" s="613" t="s">
        <v>710</v>
      </c>
      <c r="F7" s="614"/>
      <c r="G7" s="617" t="s">
        <v>711</v>
      </c>
      <c r="H7" s="618"/>
      <c r="I7" s="402"/>
      <c r="J7" s="402"/>
      <c r="K7" s="608" t="s">
        <v>712</v>
      </c>
    </row>
    <row r="8" spans="1:11" ht="37.5" customHeight="1">
      <c r="A8" s="610"/>
      <c r="B8" s="610"/>
      <c r="C8" s="619"/>
      <c r="D8" s="620"/>
      <c r="E8" s="615"/>
      <c r="F8" s="616"/>
      <c r="G8" s="619"/>
      <c r="H8" s="620"/>
      <c r="I8" s="406"/>
      <c r="J8" s="406"/>
      <c r="K8" s="608"/>
    </row>
    <row r="9" spans="1:11" ht="14.25" customHeight="1">
      <c r="A9" s="404">
        <v>1</v>
      </c>
      <c r="B9" s="404">
        <v>2</v>
      </c>
      <c r="C9" s="405">
        <v>3</v>
      </c>
      <c r="D9" s="406"/>
      <c r="E9" s="407">
        <v>4</v>
      </c>
      <c r="F9" s="408"/>
      <c r="G9" s="258">
        <v>7</v>
      </c>
      <c r="H9" s="258"/>
      <c r="I9" s="258"/>
      <c r="J9" s="258"/>
      <c r="K9" s="403">
        <v>10</v>
      </c>
    </row>
    <row r="10" spans="1:11" ht="38.25">
      <c r="A10" s="81" t="s">
        <v>660</v>
      </c>
      <c r="B10" s="93" t="s">
        <v>713</v>
      </c>
      <c r="C10" s="81">
        <f>C12+C15+C17+C19+C24</f>
        <v>39880</v>
      </c>
      <c r="D10" s="81">
        <f>D11+D12+D13+D14+D15+D16+D17+D18+D19+D20+D21+D22+D23</f>
        <v>18301</v>
      </c>
      <c r="E10" s="81">
        <f>E12+E15+E17+E19+E24</f>
        <v>226672</v>
      </c>
      <c r="F10" s="81">
        <f>F11+F12+F13+F14+F15+F16+F17+F18+F19+F20+F21+F22+F23</f>
        <v>419470</v>
      </c>
      <c r="G10" s="81">
        <f>G12+G15+G17+G19+G24</f>
        <v>262531</v>
      </c>
      <c r="H10" s="81">
        <f>H11+H12+H13+H14+H15+H16+H17+H18+H19+H20+H21+H22+H23</f>
        <v>424812</v>
      </c>
      <c r="I10" s="81"/>
      <c r="J10" s="81"/>
      <c r="K10" s="81">
        <f>K12+K15+K17+K19+K24</f>
        <v>4021</v>
      </c>
    </row>
    <row r="11" spans="1:11" ht="25.5" hidden="1">
      <c r="A11" s="37" t="s">
        <v>23</v>
      </c>
      <c r="B11" s="75" t="s">
        <v>714</v>
      </c>
      <c r="C11" s="37">
        <v>0</v>
      </c>
      <c r="D11" s="37">
        <v>5558</v>
      </c>
      <c r="E11" s="37">
        <v>0</v>
      </c>
      <c r="F11" s="37">
        <v>182220</v>
      </c>
      <c r="G11" s="37">
        <v>0</v>
      </c>
      <c r="H11" s="37">
        <v>181928</v>
      </c>
      <c r="I11" s="37"/>
      <c r="J11" s="37"/>
      <c r="K11" s="37">
        <f>C11+E11-G11</f>
        <v>0</v>
      </c>
    </row>
    <row r="12" spans="1:11" ht="29.25" customHeight="1">
      <c r="A12" s="37" t="s">
        <v>23</v>
      </c>
      <c r="B12" s="75" t="s">
        <v>715</v>
      </c>
      <c r="C12" s="37">
        <v>6048</v>
      </c>
      <c r="D12" s="37">
        <v>2200</v>
      </c>
      <c r="E12" s="37">
        <v>97000</v>
      </c>
      <c r="F12" s="37">
        <v>99450</v>
      </c>
      <c r="G12" s="37">
        <v>103048</v>
      </c>
      <c r="H12" s="37">
        <v>100550</v>
      </c>
      <c r="I12" s="37"/>
      <c r="J12" s="37"/>
      <c r="K12" s="37">
        <f>C12+E12-G12</f>
        <v>0</v>
      </c>
    </row>
    <row r="13" spans="1:11" ht="25.5" hidden="1">
      <c r="A13" s="37" t="s">
        <v>41</v>
      </c>
      <c r="B13" s="75" t="s">
        <v>716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  <c r="J13" s="37"/>
      <c r="K13" s="37">
        <v>0</v>
      </c>
    </row>
    <row r="14" spans="1:11" ht="25.5" hidden="1">
      <c r="A14" s="37" t="s">
        <v>63</v>
      </c>
      <c r="B14" s="75" t="s">
        <v>717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  <c r="J14" s="37"/>
      <c r="K14" s="37">
        <v>0</v>
      </c>
    </row>
    <row r="15" spans="1:11" ht="35.25" customHeight="1">
      <c r="A15" s="37">
        <v>2</v>
      </c>
      <c r="B15" s="75" t="s">
        <v>718</v>
      </c>
      <c r="C15" s="37">
        <v>5660</v>
      </c>
      <c r="D15" s="37">
        <v>6009</v>
      </c>
      <c r="E15" s="37">
        <v>89592</v>
      </c>
      <c r="F15" s="37">
        <v>101000</v>
      </c>
      <c r="G15" s="37">
        <v>92252</v>
      </c>
      <c r="H15" s="37">
        <v>101000</v>
      </c>
      <c r="I15" s="37"/>
      <c r="J15" s="37"/>
      <c r="K15" s="37">
        <f>C15+E15-G15</f>
        <v>3000</v>
      </c>
    </row>
    <row r="16" spans="1:11" ht="25.5" hidden="1">
      <c r="A16" s="37" t="s">
        <v>76</v>
      </c>
      <c r="B16" s="75" t="s">
        <v>719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  <c r="J16" s="37"/>
      <c r="K16" s="37">
        <v>0</v>
      </c>
    </row>
    <row r="17" spans="1:11" ht="51.75" customHeight="1">
      <c r="A17" s="37">
        <v>3</v>
      </c>
      <c r="B17" s="75" t="s">
        <v>720</v>
      </c>
      <c r="C17" s="37">
        <v>5521</v>
      </c>
      <c r="D17" s="37">
        <v>0</v>
      </c>
      <c r="E17" s="37">
        <v>8080</v>
      </c>
      <c r="F17" s="37">
        <v>8100</v>
      </c>
      <c r="G17" s="37">
        <v>12580</v>
      </c>
      <c r="H17" s="37">
        <v>8100</v>
      </c>
      <c r="I17" s="37"/>
      <c r="J17" s="37"/>
      <c r="K17" s="37">
        <f>C17+E17-G17</f>
        <v>1021</v>
      </c>
    </row>
    <row r="18" spans="1:11" ht="25.5" hidden="1">
      <c r="A18" s="37" t="s">
        <v>96</v>
      </c>
      <c r="B18" s="75" t="s">
        <v>721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  <c r="J18" s="37"/>
      <c r="K18" s="37">
        <v>0</v>
      </c>
    </row>
    <row r="19" spans="1:11" ht="27" customHeight="1">
      <c r="A19" s="37">
        <v>4</v>
      </c>
      <c r="B19" s="75" t="s">
        <v>722</v>
      </c>
      <c r="C19" s="37">
        <v>4226</v>
      </c>
      <c r="D19" s="37">
        <v>4534</v>
      </c>
      <c r="E19" s="37">
        <v>2000</v>
      </c>
      <c r="F19" s="37">
        <v>5200</v>
      </c>
      <c r="G19" s="37">
        <v>6226</v>
      </c>
      <c r="H19" s="37">
        <v>9734</v>
      </c>
      <c r="I19" s="37"/>
      <c r="J19" s="37"/>
      <c r="K19" s="37">
        <f>C19+E19-G19</f>
        <v>0</v>
      </c>
    </row>
    <row r="20" spans="1:11" ht="27" customHeight="1" hidden="1">
      <c r="A20" s="37" t="s">
        <v>120</v>
      </c>
      <c r="B20" s="75" t="s">
        <v>723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>
        <v>0</v>
      </c>
    </row>
    <row r="21" spans="1:11" ht="25.5" hidden="1">
      <c r="A21" s="37" t="s">
        <v>76</v>
      </c>
      <c r="B21" s="75" t="s">
        <v>607</v>
      </c>
      <c r="C21" s="37">
        <v>0</v>
      </c>
      <c r="D21" s="37">
        <v>0</v>
      </c>
      <c r="E21" s="37">
        <v>15000</v>
      </c>
      <c r="F21" s="37">
        <v>23500</v>
      </c>
      <c r="G21" s="37">
        <v>15000</v>
      </c>
      <c r="H21" s="37">
        <v>23500</v>
      </c>
      <c r="I21" s="37"/>
      <c r="J21" s="37"/>
      <c r="K21" s="37">
        <f>C21+E21-G21</f>
        <v>0</v>
      </c>
    </row>
    <row r="22" spans="1:11" ht="25.5" hidden="1">
      <c r="A22" s="37" t="s">
        <v>132</v>
      </c>
      <c r="B22" s="75" t="s">
        <v>724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>
        <v>0</v>
      </c>
    </row>
    <row r="23" spans="1:11" ht="26.25" customHeight="1" hidden="1">
      <c r="A23" s="37" t="s">
        <v>85</v>
      </c>
      <c r="B23" s="75" t="s">
        <v>725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  <c r="J23" s="37"/>
      <c r="K23" s="37">
        <f>E23-G23</f>
        <v>0</v>
      </c>
    </row>
    <row r="24" spans="1:11" ht="35.25" customHeight="1">
      <c r="A24" s="37">
        <v>5</v>
      </c>
      <c r="B24" s="75" t="s">
        <v>607</v>
      </c>
      <c r="C24" s="37">
        <v>18425</v>
      </c>
      <c r="D24" s="37"/>
      <c r="E24" s="37">
        <v>30000</v>
      </c>
      <c r="F24" s="37"/>
      <c r="G24" s="37">
        <v>48425</v>
      </c>
      <c r="H24" s="37"/>
      <c r="I24" s="37"/>
      <c r="J24" s="37"/>
      <c r="K24" s="37">
        <f>C24+E24-G24</f>
        <v>0</v>
      </c>
    </row>
    <row r="27" ht="12.75">
      <c r="E27" t="s">
        <v>197</v>
      </c>
    </row>
  </sheetData>
  <mergeCells count="10">
    <mergeCell ref="E1:K1"/>
    <mergeCell ref="K7:K8"/>
    <mergeCell ref="B7:B8"/>
    <mergeCell ref="C2:K2"/>
    <mergeCell ref="A5:K5"/>
    <mergeCell ref="A7:A8"/>
    <mergeCell ref="E7:F8"/>
    <mergeCell ref="G7:H8"/>
    <mergeCell ref="C7:D8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D2" sqref="D2"/>
    </sheetView>
  </sheetViews>
  <sheetFormatPr defaultColWidth="9.00390625" defaultRowHeight="12.75"/>
  <cols>
    <col min="1" max="1" width="4.625" style="0" customWidth="1"/>
    <col min="2" max="2" width="51.625" style="0" customWidth="1"/>
    <col min="3" max="3" width="27.625" style="0" customWidth="1"/>
  </cols>
  <sheetData>
    <row r="1" ht="18.75" customHeight="1">
      <c r="C1" s="549" t="s">
        <v>788</v>
      </c>
    </row>
    <row r="2" ht="57.75" customHeight="1">
      <c r="C2" s="622"/>
    </row>
    <row r="3" spans="1:3" ht="39.75" customHeight="1">
      <c r="A3" s="623" t="s">
        <v>726</v>
      </c>
      <c r="B3" s="623"/>
      <c r="C3" s="623"/>
    </row>
    <row r="4" spans="1:3" ht="15.75">
      <c r="A4" s="409"/>
      <c r="B4" s="409"/>
      <c r="C4" s="233"/>
    </row>
    <row r="5" ht="13.5" thickBot="1">
      <c r="C5" s="231"/>
    </row>
    <row r="6" spans="1:3" ht="13.5" thickBot="1">
      <c r="A6" s="420" t="s">
        <v>0</v>
      </c>
      <c r="B6" s="421" t="s">
        <v>708</v>
      </c>
      <c r="C6" s="422" t="s">
        <v>727</v>
      </c>
    </row>
    <row r="7" spans="1:3" ht="13.5" thickBot="1">
      <c r="A7" s="420" t="s">
        <v>660</v>
      </c>
      <c r="B7" s="423" t="s">
        <v>728</v>
      </c>
      <c r="C7" s="424">
        <f>C8+C9-C10</f>
        <v>62687</v>
      </c>
    </row>
    <row r="8" spans="1:3" ht="12.75">
      <c r="A8" s="425" t="s">
        <v>23</v>
      </c>
      <c r="B8" s="426" t="s">
        <v>729</v>
      </c>
      <c r="C8" s="149">
        <v>62687</v>
      </c>
    </row>
    <row r="9" spans="1:3" ht="12.75">
      <c r="A9" s="427" t="s">
        <v>34</v>
      </c>
      <c r="B9" s="428" t="s">
        <v>730</v>
      </c>
      <c r="C9" s="37">
        <v>0</v>
      </c>
    </row>
    <row r="10" spans="1:3" ht="12.75">
      <c r="A10" s="427" t="s">
        <v>41</v>
      </c>
      <c r="B10" s="428" t="s">
        <v>731</v>
      </c>
      <c r="C10" s="37">
        <v>0</v>
      </c>
    </row>
    <row r="11" spans="1:3" ht="13.5" thickBot="1">
      <c r="A11" s="238" t="s">
        <v>63</v>
      </c>
      <c r="B11" s="429" t="s">
        <v>732</v>
      </c>
      <c r="C11" s="198">
        <v>0</v>
      </c>
    </row>
    <row r="12" spans="1:3" ht="13.5" thickBot="1">
      <c r="A12" s="420" t="s">
        <v>662</v>
      </c>
      <c r="B12" s="423" t="s">
        <v>710</v>
      </c>
      <c r="C12" s="424">
        <f>C13+C14</f>
        <v>60000</v>
      </c>
    </row>
    <row r="13" spans="1:3" ht="13.5" thickBot="1">
      <c r="A13" s="311" t="s">
        <v>23</v>
      </c>
      <c r="B13" s="32" t="s">
        <v>733</v>
      </c>
      <c r="C13" s="224">
        <v>60000</v>
      </c>
    </row>
    <row r="14" spans="1:3" ht="27" customHeight="1" thickBot="1">
      <c r="A14" s="430" t="s">
        <v>34</v>
      </c>
      <c r="B14" s="431" t="s">
        <v>734</v>
      </c>
      <c r="C14" s="432">
        <v>0</v>
      </c>
    </row>
    <row r="15" spans="1:3" ht="13.5" thickBot="1">
      <c r="A15" s="420" t="s">
        <v>666</v>
      </c>
      <c r="B15" s="423" t="s">
        <v>499</v>
      </c>
      <c r="C15" s="382">
        <f>C16+C22</f>
        <v>103000</v>
      </c>
    </row>
    <row r="16" spans="1:3" ht="12.75">
      <c r="A16" s="433" t="s">
        <v>23</v>
      </c>
      <c r="B16" s="434" t="s">
        <v>735</v>
      </c>
      <c r="C16" s="435">
        <f>C17+C18+C21+C20+C19</f>
        <v>53000</v>
      </c>
    </row>
    <row r="17" spans="1:3" ht="24.75" customHeight="1">
      <c r="A17" s="427"/>
      <c r="B17" s="436" t="s">
        <v>736</v>
      </c>
      <c r="C17" s="37">
        <v>15000</v>
      </c>
    </row>
    <row r="18" spans="1:3" ht="24.75" customHeight="1">
      <c r="A18" s="427"/>
      <c r="B18" s="436" t="s">
        <v>737</v>
      </c>
      <c r="C18" s="37">
        <v>0</v>
      </c>
    </row>
    <row r="19" spans="1:3" ht="36" customHeight="1">
      <c r="A19" s="427"/>
      <c r="B19" s="436" t="s">
        <v>738</v>
      </c>
      <c r="C19" s="37">
        <v>15000</v>
      </c>
    </row>
    <row r="20" spans="1:3" ht="16.5" customHeight="1">
      <c r="A20" s="427"/>
      <c r="B20" s="436" t="s">
        <v>739</v>
      </c>
      <c r="C20" s="37">
        <v>15000</v>
      </c>
    </row>
    <row r="21" spans="1:3" ht="17.25" customHeight="1">
      <c r="A21" s="427"/>
      <c r="B21" s="436" t="s">
        <v>740</v>
      </c>
      <c r="C21" s="37">
        <v>8000</v>
      </c>
    </row>
    <row r="22" spans="1:3" ht="12.75">
      <c r="A22" s="437" t="s">
        <v>34</v>
      </c>
      <c r="B22" s="438" t="s">
        <v>741</v>
      </c>
      <c r="C22" s="81">
        <f>C23+C24</f>
        <v>50000</v>
      </c>
    </row>
    <row r="23" spans="1:3" ht="12.75">
      <c r="A23" s="439"/>
      <c r="B23" s="440" t="s">
        <v>742</v>
      </c>
      <c r="C23" s="197">
        <v>10000</v>
      </c>
    </row>
    <row r="24" spans="1:3" ht="13.5" thickBot="1">
      <c r="A24" s="439"/>
      <c r="B24" s="440" t="s">
        <v>743</v>
      </c>
      <c r="C24" s="197">
        <v>40000</v>
      </c>
    </row>
    <row r="25" spans="1:3" ht="13.5" thickBot="1">
      <c r="A25" s="420" t="s">
        <v>744</v>
      </c>
      <c r="B25" s="423" t="s">
        <v>745</v>
      </c>
      <c r="C25" s="424">
        <f>C7+C12-C15</f>
        <v>19687</v>
      </c>
    </row>
    <row r="26" spans="1:3" ht="12.75">
      <c r="A26" s="441" t="s">
        <v>23</v>
      </c>
      <c r="B26" s="442" t="s">
        <v>729</v>
      </c>
      <c r="C26" s="443">
        <f>C25</f>
        <v>19687</v>
      </c>
    </row>
    <row r="27" spans="1:3" ht="12.75">
      <c r="A27" s="427" t="s">
        <v>34</v>
      </c>
      <c r="B27" s="428" t="s">
        <v>730</v>
      </c>
      <c r="C27" s="52">
        <v>0</v>
      </c>
    </row>
    <row r="28" spans="1:3" ht="13.5" thickBot="1">
      <c r="A28" s="444" t="s">
        <v>41</v>
      </c>
      <c r="B28" s="445" t="s">
        <v>731</v>
      </c>
      <c r="C28" s="152">
        <v>0</v>
      </c>
    </row>
    <row r="29" ht="33.75" customHeight="1"/>
    <row r="30" spans="2:3" ht="12.75">
      <c r="B30" s="624" t="s">
        <v>746</v>
      </c>
      <c r="C30" s="624"/>
    </row>
  </sheetData>
  <mergeCells count="3">
    <mergeCell ref="C1:C2"/>
    <mergeCell ref="A3:C3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oem</cp:lastModifiedBy>
  <dcterms:created xsi:type="dcterms:W3CDTF">2006-04-03T07:30:00Z</dcterms:created>
  <dcterms:modified xsi:type="dcterms:W3CDTF">2006-04-03T07:56:53Z</dcterms:modified>
  <cp:category/>
  <cp:version/>
  <cp:contentType/>
  <cp:contentStatus/>
</cp:coreProperties>
</file>