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9" firstSheet="6" activeTab="17"/>
  </bookViews>
  <sheets>
    <sheet name="Z 1" sheetId="1" r:id="rId1"/>
    <sheet name="z1a" sheetId="2" r:id="rId2"/>
    <sheet name="Z 2" sheetId="3" r:id="rId3"/>
    <sheet name="Z 3 " sheetId="4" r:id="rId4"/>
    <sheet name="Z 4 " sheetId="5" r:id="rId5"/>
    <sheet name="Z 5 " sheetId="6" r:id="rId6"/>
    <sheet name="z6" sheetId="7" r:id="rId7"/>
    <sheet name="z7" sheetId="8" r:id="rId8"/>
    <sheet name="z8" sheetId="9" r:id="rId9"/>
    <sheet name="z9" sheetId="10" r:id="rId10"/>
    <sheet name="z9a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5" sheetId="17" r:id="rId17"/>
    <sheet name="z16" sheetId="18" r:id="rId18"/>
  </sheets>
  <definedNames>
    <definedName name="_xlnm._FilterDatabase" localSheetId="2" hidden="1">'Z 2'!$K$1:$K$676</definedName>
    <definedName name="_xlnm.Print_Area" localSheetId="0">'Z 1'!$A$1:$W$268</definedName>
    <definedName name="_xlnm.Print_Area" localSheetId="2">'Z 2'!$A$1:$R$672</definedName>
    <definedName name="_xlnm.Print_Area" localSheetId="3">'Z 3 '!$A$1:$G$152</definedName>
    <definedName name="_xlnm.Print_Area" localSheetId="5">'Z 5 '!$A$1:$F$138</definedName>
    <definedName name="_xlnm.Print_Area" localSheetId="11">'z10'!$A$1:$F$40</definedName>
    <definedName name="_xlnm.Print_Area" localSheetId="14">'z13'!$A$1:$C$38</definedName>
    <definedName name="_xlnm.Print_Titles" localSheetId="0">'Z 1'!$12:$16</definedName>
    <definedName name="_xlnm.Print_Titles" localSheetId="2">'Z 2'!$4:$8</definedName>
  </definedNames>
  <calcPr fullCalcOnLoad="1"/>
</workbook>
</file>

<file path=xl/sharedStrings.xml><?xml version="1.0" encoding="utf-8"?>
<sst xmlns="http://schemas.openxmlformats.org/spreadsheetml/2006/main" count="2764" uniqueCount="1025">
  <si>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</si>
  <si>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</si>
  <si>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</si>
  <si>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</si>
  <si>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</si>
  <si>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</si>
  <si>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</si>
  <si>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</si>
  <si>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</si>
  <si>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</si>
  <si>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 xml:space="preserve">Program:ZPORR 2004-2006 "Budowa drogi powiatowej nr 40499 Krupin - Wojnasy, etap I przez wieś Markowskie długości 951 m"  </t>
  </si>
  <si>
    <t>Priorytet  3 - Rozwój lokalny</t>
  </si>
  <si>
    <t xml:space="preserve">Działanie 3.1 Obszary wiejskie </t>
  </si>
  <si>
    <t>Razem wydatki:</t>
  </si>
  <si>
    <t>600, 60014</t>
  </si>
  <si>
    <t>z tego: 2005 r</t>
  </si>
  <si>
    <t>2006 r.</t>
  </si>
  <si>
    <t>2007 r.</t>
  </si>
  <si>
    <t>2008 r.</t>
  </si>
  <si>
    <t>1.2</t>
  </si>
  <si>
    <t>Program: ZPORR 2004-2006 "Przebudowa drogi powiatowej nr 40454 Olecko - Świętajno - Dunajek km 7+350 - km 13+000"</t>
  </si>
  <si>
    <t>Priorytet 3 - Rozwój lokalny</t>
  </si>
  <si>
    <t xml:space="preserve">Program: ZPORR 2004-2006 "Przebudowa (modernizacja) Szpitala powiatowego w Olecku" </t>
  </si>
  <si>
    <t>Działanie 3.5.2 Lokalna infrastruktura ochrony zdrowia</t>
  </si>
  <si>
    <t xml:space="preserve">Ogółem rok 2006 </t>
  </si>
  <si>
    <t xml:space="preserve">Ogółem lata 2005-2008 </t>
  </si>
  <si>
    <t xml:space="preserve"> Załącznik nr 7                                      do Uchwały Rady Powiatu                  nr ......./......./........                                    z dnia ........................</t>
  </si>
  <si>
    <t>Pozostałe wydatki majątkowe na 2006 rok</t>
  </si>
  <si>
    <t>w złotych</t>
  </si>
  <si>
    <t>L.p</t>
  </si>
  <si>
    <t xml:space="preserve">Treść </t>
  </si>
  <si>
    <t>Przewidywane wykonanie w 2005 roku</t>
  </si>
  <si>
    <t>Plan na 2006 rok</t>
  </si>
  <si>
    <t>Dotacja na "Wrota Warmii i Mazur - elektroniczna platforma funkcjonowania administracji publicznej oraz świadczenia usług publicznych"</t>
  </si>
  <si>
    <t>42.000</t>
  </si>
  <si>
    <t xml:space="preserve">Załącznik nr 9 do Uchwały Rady Powiatu nr ......./......./......... z dnia .............. </t>
  </si>
  <si>
    <t>Prognoza kwoty długu powiatu na lata 2005 - 2015</t>
  </si>
  <si>
    <t>Przewidywane wykonanie na 31.12.2005</t>
  </si>
  <si>
    <t xml:space="preserve">Kredyty zaciągnięte w latach poprzednich                                                                </t>
  </si>
  <si>
    <t>Pożyczki krajowe (z WFOŚiGW)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</si>
  <si>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</si>
  <si>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</si>
  <si>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</si>
  <si>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Wymagalne zobowiązania, wynikające z następujących tytułów:</t>
  </si>
  <si>
    <t xml:space="preserve">Spłata kredytów zaciągniętych w latach poprzednich </t>
  </si>
  <si>
    <t>Spłata  pożyczek  zaciągniętych  w latach poprzed.</t>
  </si>
  <si>
    <t xml:space="preserve">Spłata kredytów zaciągniętych w  roku budżetowym </t>
  </si>
  <si>
    <t xml:space="preserve">Spłata kredytów zaciągniętych na zadania w ramach programów ZPORR </t>
  </si>
  <si>
    <t>Suma spłaconych kredytów i pożyczek</t>
  </si>
  <si>
    <t>* suma pożyczek na prefinansowanie  planowanych do zaciągnicia w danym roku budżetowym jest równa sumie planowanych spłat w danym roku.</t>
  </si>
  <si>
    <t xml:space="preserve">Przewodniczący Rady Powiatu: Wacław Sapieha     </t>
  </si>
  <si>
    <r>
      <t>Spłata pożyczek zaciągniętych na prefinansowanie wydatków</t>
    </r>
    <r>
      <rPr>
        <b/>
        <sz val="8"/>
        <rFont val="Arial CE"/>
        <family val="2"/>
      </rPr>
      <t>*</t>
    </r>
  </si>
  <si>
    <t>Załącznik nr 16                                     do Uchwały Rady Powiatu nr............../ ......./.......                          z dnia .............</t>
  </si>
  <si>
    <t xml:space="preserve">                                          Inne dotacje udzielone w roku 2006</t>
  </si>
  <si>
    <t>(w złotych)</t>
  </si>
  <si>
    <t>SP ZOZ w Olecku "w likwidacji"</t>
  </si>
  <si>
    <t xml:space="preserve">250.000 </t>
  </si>
  <si>
    <t>OGÓŁEM KWOTA DOTACJI</t>
  </si>
  <si>
    <t>250.000</t>
  </si>
  <si>
    <t>Prace geodezyjno-urządz. na potrzeby rolnictwa</t>
  </si>
  <si>
    <t>Zespół Szkół Technicznych w Olecku</t>
  </si>
  <si>
    <t>10.</t>
  </si>
  <si>
    <t>Powiatowy Zarząd Dróg w Olecku</t>
  </si>
  <si>
    <t>12.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</si>
  <si>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</si>
  <si>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</si>
  <si>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</si>
  <si>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</si>
  <si>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</si>
  <si>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</si>
  <si>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</si>
  <si>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Starostwo Powiatowe w Olecku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</si>
  <si>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</si>
  <si>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</si>
  <si>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</si>
  <si>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</si>
  <si>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</si>
  <si>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</si>
  <si>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</si>
  <si>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</si>
  <si>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</si>
  <si>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</si>
  <si>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</si>
  <si>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DOCHODY WŁASNE OGÓŁEM</t>
  </si>
  <si>
    <t>Rolnictwo i łowiectwo</t>
  </si>
  <si>
    <t>a)</t>
  </si>
  <si>
    <t>wskaźnik % (7:6)</t>
  </si>
  <si>
    <t>struktura procentowa</t>
  </si>
  <si>
    <t>Opieka społeczna*</t>
  </si>
  <si>
    <t>85301</t>
  </si>
  <si>
    <t>85302</t>
  </si>
  <si>
    <t>85304</t>
  </si>
  <si>
    <t>6292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</si>
  <si>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</si>
  <si>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</si>
  <si>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</si>
  <si>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</si>
  <si>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</si>
  <si>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</si>
  <si>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069</t>
  </si>
  <si>
    <t>Transport i Łączność</t>
  </si>
  <si>
    <t>drogi publiczne powiatowe</t>
  </si>
  <si>
    <t>dochody z najmu i dzierżawy składników majątkowych</t>
  </si>
  <si>
    <t>075</t>
  </si>
  <si>
    <t>wpływy z usług</t>
  </si>
  <si>
    <t>083</t>
  </si>
  <si>
    <t>Wpływy z różnych odochodów</t>
  </si>
  <si>
    <t>097</t>
  </si>
  <si>
    <t>Gospodarka mieszkaniowa oraz niemat.usł.komun.</t>
  </si>
  <si>
    <t>Gospodarka gruntami i nieruchomościami.</t>
  </si>
  <si>
    <t>wpływy ze sprzedaży wyrobów skł.majątk.</t>
  </si>
  <si>
    <t>084</t>
  </si>
  <si>
    <t>Rezerwa celowa na ubezpieczenia majątkowe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</si>
  <si>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</si>
  <si>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</si>
  <si>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</si>
  <si>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</si>
  <si>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</si>
  <si>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</si>
  <si>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</si>
  <si>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</si>
  <si>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</si>
  <si>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</si>
  <si>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Załącznik nr 2 do Uchwały Rady Powiatu w Olecku Nr......./..../.... z dn. ...........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</si>
  <si>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</si>
  <si>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</si>
  <si>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</si>
  <si>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</si>
  <si>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</si>
  <si>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</si>
  <si>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</si>
  <si>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</si>
  <si>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</si>
  <si>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Rozliczenia między jednostkami samorządu terytorialnego</t>
  </si>
  <si>
    <t>wpływy z tytułu pomocy finansowej udzielanej j.s.t. na dofinansowanie własnych zadań bieżących</t>
  </si>
  <si>
    <t>wpływy z tytułu pomocy finansowej udzielanej j.s.t. na dofinansowanie własnych zadań inwestycyjnych i zakupów inwestycyjnych</t>
  </si>
  <si>
    <t>Oświata i wychowanie</t>
  </si>
  <si>
    <t>dochody z najmu i dzierżawy składników majątkowych Skarbu Państwa lub j.s.t. oraz innych umów o podobym charakterze</t>
  </si>
  <si>
    <t>Wpływy z różnych dochodów</t>
  </si>
  <si>
    <t>c)</t>
  </si>
  <si>
    <t>Ochrona zdrowia</t>
  </si>
  <si>
    <t>d)</t>
  </si>
  <si>
    <t>Powiatowe Centra Pomocy Rodzinie</t>
  </si>
  <si>
    <t>e)</t>
  </si>
  <si>
    <t>PFRON</t>
  </si>
  <si>
    <t>Edukacyjna opieka wychowawcza</t>
  </si>
  <si>
    <t>ŚRODKI POZYSKANE Z INNYCH ŹRÓDEŁ</t>
  </si>
  <si>
    <t>§ 2710 wydatki na pomoc finansową udzielaną na podstawie porozumień z jst na dofinansow. zadań bieżących</t>
  </si>
  <si>
    <t xml:space="preserve">                                                                                           Przewodniczący Rady Powiatu</t>
  </si>
  <si>
    <t xml:space="preserve">                                                 Wacław Sapieha</t>
  </si>
  <si>
    <t>DOTACJE CELOWE NA ZADANIA WŁASNE POWIATU</t>
  </si>
  <si>
    <t>Leśnictwo</t>
  </si>
  <si>
    <t>IV</t>
  </si>
  <si>
    <t>V</t>
  </si>
  <si>
    <t>DOTACJE CELOWE NA ZADANIA Z ZAKRESU ADMINISTRACJI RZĄDOWEJ</t>
  </si>
  <si>
    <t xml:space="preserve">Gospodarka mieszkaniowa </t>
  </si>
  <si>
    <t>Gospodarka gruntami i nieruchom.</t>
  </si>
  <si>
    <t>Działalność usługowa</t>
  </si>
  <si>
    <t>Ochrona Zdrowia</t>
  </si>
  <si>
    <t>Skł.na ubezp.zdrow.dla os.nie obj.obow.ubezp.</t>
  </si>
  <si>
    <t>nagr.i wydatki nie zal.do wynagr.</t>
  </si>
  <si>
    <t>Wypłaty z tyt. poręczeń i gwarancji</t>
  </si>
  <si>
    <t xml:space="preserve">    1. Dotacje celowe na zadania własne powiatu § 2130, § 6430</t>
  </si>
  <si>
    <t xml:space="preserve">     Załącznik nr 9a do Uchwały Rady Powiatu nr .........../....../......... z dnia .................</t>
  </si>
  <si>
    <t xml:space="preserve">STUACJA FINANSOWA POWIATU W LATACH 2005 - 20015 </t>
  </si>
  <si>
    <t>Przewidywane wykonanie za 2005r</t>
  </si>
  <si>
    <t xml:space="preserve">udziały we wpływach z PDOFi PDOP </t>
  </si>
  <si>
    <t>spłata pożyczek, kredytów zaciągniętych w związku ze środkami określonymi w umowie zawartej z podmiotem dysponującym funduszami strukturalnymi lub F.S.U.E.</t>
  </si>
  <si>
    <t>Spłata przewidywanych pożyczek, kredytów, w tym:</t>
  </si>
  <si>
    <t>spłata pożyczek, kredytów krajowych</t>
  </si>
  <si>
    <t>Wartość udzielonych poręczeń</t>
  </si>
  <si>
    <t>Dług zaciągniętych w związku ze środkami określonymi w umowie zawartej z podmiotem dysponującym funduszami strukturalnymi lub F.S.U.E.</t>
  </si>
  <si>
    <t>VI.1.</t>
  </si>
  <si>
    <t>Dług/dochody(%) (art..114 ust.1 u.f.p.</t>
  </si>
  <si>
    <t>VI.2.</t>
  </si>
  <si>
    <t>Spłaty kredytów, pożyczek do dochodów (%) (art..113 ust. 1 u.f.p.)</t>
  </si>
  <si>
    <t>VII.1.</t>
  </si>
  <si>
    <t>VII.2.</t>
  </si>
  <si>
    <t>Spłaty kredtów, pożyczek do dochodów (%) (art..113 ust. 1 u.f.p.)</t>
  </si>
  <si>
    <t xml:space="preserve">                                 Wydatki inwestycyjne powiatu w roku budżetowym 2006 oraz wydatki  na wieloletnie programy inwestycyjne w latach 2006 - 2008                                                                                               </t>
  </si>
  <si>
    <t>Załącznik nr 6 do Uchwały Rady Powiatu w Olecku Nr ...../....../.... z dnia ...........</t>
  </si>
  <si>
    <t>rok budżetowy 2006 (7+8+9+10+11)</t>
  </si>
  <si>
    <t>środki pochodzące z innych źródeł</t>
  </si>
  <si>
    <t>2008r.</t>
  </si>
  <si>
    <t>Zespół szkół Licealnych i Zawodowych w Olecku</t>
  </si>
  <si>
    <t>Budowa Szpitala  w Olecku (k.ogrzewania) (lata: 1986-2008)</t>
  </si>
  <si>
    <t>Realizacja zad.inwest."Mazurskie Centrum Edukacji i Inicjatyw Lokalnych" (lata: 2005-2006)</t>
  </si>
  <si>
    <t>Opracowanie dokumentacji na ulice powiatowe miasta Olecko ( rok 2006)</t>
  </si>
  <si>
    <t>Zakup i montaż platformy do przewozu osób niepełnosprawnych ( rok 2006)</t>
  </si>
  <si>
    <t>Powiatowy Urząd Pracy w Olecku</t>
  </si>
  <si>
    <t>Zakup kserokopiarki i centrali telefonicznej (rok 2006)</t>
  </si>
  <si>
    <t>Remont i adaptacja pomieszczeń na bibliotekę pedagodiczną (rok 2006)</t>
  </si>
  <si>
    <t>Środki wymienione w art..3 ust.1pkt 2 i 2a u.f.p</t>
  </si>
  <si>
    <t>Zakup programów komputerowych                      (rok 2006)</t>
  </si>
  <si>
    <t>Budowa Szpitala Rejonowego w Olecku                           (lata: 1986 - 2008)</t>
  </si>
  <si>
    <t>Wacław Sapieha</t>
  </si>
  <si>
    <t>DPS w Kowalach Oleckich</t>
  </si>
  <si>
    <t xml:space="preserve">Załącznik nr 13 do Uchwały Rady Powiatu ..../....../....                                                                                          z dnia ................ </t>
  </si>
  <si>
    <t>Załącznik Nr 14 do Uchwały Rady Powiatu Nr ....../...../..... z dnia ............</t>
  </si>
  <si>
    <t>Plan na 2006 r</t>
  </si>
  <si>
    <t>Załacznik Nr 12 do Uchwały Rady Powiatu  w Olecku Nr ..../......./.....        z dnia ............</t>
  </si>
  <si>
    <t>- przelewy na fundusz centralny</t>
  </si>
  <si>
    <t>- przelewy na fundusz wojewódzki</t>
  </si>
  <si>
    <t>Wydatki inwestycyjne jednostek budżetowych</t>
  </si>
  <si>
    <t>01008</t>
  </si>
  <si>
    <t>2350</t>
  </si>
  <si>
    <t>Melioracje wodne</t>
  </si>
  <si>
    <t>§ 903</t>
  </si>
  <si>
    <t>Załącznik Nr 10 do Uchwały Rady Powiatu w Olecku Nr...../....../... z dnia  ..............</t>
  </si>
  <si>
    <t>Załącznik Nr 11 do Uchwały Rady Powiatu w Olecku Nr ......./....../... z dnia .............</t>
  </si>
  <si>
    <t>Załącznik nr 15 do Uchwały Rady Powiatu Nr...../.... /   z dnia ..........</t>
  </si>
  <si>
    <t>UMOWY</t>
  </si>
  <si>
    <t>POROZUMIENIA</t>
  </si>
  <si>
    <t>RAZEM UMOWY I POROZUMIENIA</t>
  </si>
  <si>
    <t xml:space="preserve">    2. Dotacje celowe na zadania z zakr.administr.rządowej wykonyw.przez powiat oraz na realiz.zadań służb, inspekcji i straży(§ § 2110, 6410)</t>
  </si>
  <si>
    <t xml:space="preserve">    3. Dotacje celowe na zadania (umowy i porozumienia) z jst § § 2310,2320,2330,6610,6620,6630)</t>
  </si>
  <si>
    <t xml:space="preserve">    5. Środki pozyskane z innych źródeł                                         (§ § 2460,6290,6291,6298,6430,6439)</t>
  </si>
  <si>
    <t xml:space="preserve">    4. Dotacje uzyskane z funduszy celowych (§§ 2440,6260)</t>
  </si>
  <si>
    <t>f)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</si>
  <si>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</si>
  <si>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</si>
  <si>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</si>
  <si>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</si>
  <si>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Plany przychodów i wydatków dochodów własnych na rok 2006</t>
  </si>
  <si>
    <t>Dochody własne ogółem,                            w tym:</t>
  </si>
  <si>
    <t>Przedszkola Specjalne</t>
  </si>
  <si>
    <t>Szkoły Podstawowe Specjalne</t>
  </si>
  <si>
    <t>Pożyczki na finansowanie zadań realizowanych z udziałem środków pochodzących z budżetu UE</t>
  </si>
  <si>
    <t>Spłaty pożyczekotrzymanych na finansowanie zadań realizowanych z udziałem środków pochodzących z budżetu UE</t>
  </si>
  <si>
    <t>§ 963</t>
  </si>
  <si>
    <t>Powiat augustowski</t>
  </si>
  <si>
    <t>Urząd Marszałkopwski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</si>
  <si>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</si>
  <si>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</si>
  <si>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</si>
  <si>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</si>
  <si>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</si>
  <si>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</si>
  <si>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</si>
  <si>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</si>
  <si>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</si>
  <si>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</si>
  <si>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</si>
  <si>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</si>
  <si>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§ 2450-dotacje przekazane z funduszy celowych na realizację zadań bieżących dla jednostek niezalicznych do sektora finansów publicznych</t>
  </si>
  <si>
    <t>- uzysk.z f.celowych (§ 244, 626)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</si>
  <si>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</si>
  <si>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</si>
  <si>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</si>
  <si>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</si>
  <si>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</si>
  <si>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</si>
  <si>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DOTACJE Z BUDŻETU PAŃSTWA NA REALIZACJĘ ZADAŃ WŁASNYCH POWIATU</t>
  </si>
  <si>
    <t>Nagrody i wyd.nie zal.do wynagr.</t>
  </si>
  <si>
    <t>Dotacje cel. na zad.zlec.jedn.nie zal. do sektora finansów publicznych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</si>
  <si>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</si>
  <si>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</si>
  <si>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</si>
  <si>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</si>
  <si>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</si>
  <si>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</si>
  <si>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</si>
  <si>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</si>
  <si>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</si>
  <si>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</si>
  <si>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</si>
  <si>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</si>
  <si>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</si>
  <si>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</si>
  <si>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</si>
  <si>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</si>
  <si>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Bursa Szkolna w Gołdapi</t>
  </si>
  <si>
    <t>6439</t>
  </si>
  <si>
    <t>6291</t>
  </si>
  <si>
    <t>dotacje na realizację zadań bieżących jednostek sektora  finansów publicznych</t>
  </si>
  <si>
    <t>Zespół Szkół Zawodowych w Gołdapi</t>
  </si>
  <si>
    <t>Specjalny Ośrodek Szkol-Wych Gołdap</t>
  </si>
  <si>
    <t>Dom Dziecka w Gołdapi</t>
  </si>
  <si>
    <t>Dom Dziecka w Olecku</t>
  </si>
  <si>
    <t>Powiatowa Stacja Sanit-Epid. w Olecku</t>
  </si>
  <si>
    <t>Zespół Szkół Ogólnok. w Gołdapi</t>
  </si>
  <si>
    <t>Kom. Pow. Państ. Straży Poż.  Olecko</t>
  </si>
  <si>
    <t>01022</t>
  </si>
  <si>
    <t>Zwalczanie chorób zakaźnych zwierząt</t>
  </si>
  <si>
    <t>3250</t>
  </si>
  <si>
    <t>stypendia różne</t>
  </si>
  <si>
    <t>4610</t>
  </si>
  <si>
    <t>Gospodarka leśna</t>
  </si>
  <si>
    <t>02001</t>
  </si>
  <si>
    <t>751</t>
  </si>
  <si>
    <t>75109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</si>
  <si>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</si>
  <si>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</si>
  <si>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</si>
  <si>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</si>
  <si>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</si>
  <si>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URZĘDY NACZELNYCH ORGANÓW WŁADZY PAŃSTWOWEJ, KONTROLI I OCHRONY PRAW ORAZ SADOWNICTWA</t>
  </si>
  <si>
    <t xml:space="preserve">Plan przychodów i wydatków Powiatowego Funduszu Ochrony Środowiska i Gospodarki Wodnej 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</si>
  <si>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</si>
  <si>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</si>
  <si>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</si>
  <si>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>Odsetki od kredytów i pożyczek</t>
  </si>
  <si>
    <t xml:space="preserve">                                                                          </t>
  </si>
  <si>
    <t>4530</t>
  </si>
  <si>
    <t>Wybory do rad gmin, rad powiatów i sejmików województw oraz referenda gminne, powiatowe i wojew.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</si>
  <si>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</si>
  <si>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</si>
  <si>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</si>
  <si>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</si>
  <si>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</si>
  <si>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</si>
  <si>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</si>
  <si>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</si>
  <si>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</si>
  <si>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</si>
  <si>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</si>
  <si>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</si>
  <si>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Przewidywane wykonanie 2002</t>
  </si>
  <si>
    <t>Nagr.i wyd.nie zal.do wynagr</t>
  </si>
  <si>
    <t>Zakup leków i środków medycznych</t>
  </si>
  <si>
    <t>wypłaty z tyt.poręczeń kredyt.krajow.</t>
  </si>
  <si>
    <t>wypł.z tyt.pozost.poręcz.i gwar.</t>
  </si>
  <si>
    <t>Podatek od towarów i usług (VAT)</t>
  </si>
  <si>
    <t>Nazwa jednostki</t>
  </si>
  <si>
    <t>rozdział</t>
  </si>
  <si>
    <t>kwota dotacji</t>
  </si>
  <si>
    <t>Centrum "Omega"</t>
  </si>
  <si>
    <t>Studium Policealne Hotelarstwa (zaoczne dla dorosłych)</t>
  </si>
  <si>
    <t>RAZEM</t>
  </si>
  <si>
    <t>Wyrównanie  z tyt.rozliczenia dotacji za 2002rok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</si>
  <si>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</si>
  <si>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</si>
  <si>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</si>
  <si>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</si>
  <si>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</si>
  <si>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</si>
  <si>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</si>
  <si>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III</t>
  </si>
  <si>
    <t xml:space="preserve">                                                 Przewodniczący Rady Powiatu: Wacław Sapieha</t>
  </si>
  <si>
    <t>Dochody i wydatki związane z realizacją zadań z zakresu administracji rządowej zleconych powiatowi i innych zadań zleconych ustawami</t>
  </si>
  <si>
    <t>Wydatki osob.nie zal. do wynagrodzeń</t>
  </si>
  <si>
    <t>Równiważniki i ekwiwalenty</t>
  </si>
  <si>
    <t xml:space="preserve"> Gmina Kowale Oleckie</t>
  </si>
  <si>
    <t xml:space="preserve"> Gmina Wieliczki</t>
  </si>
  <si>
    <t xml:space="preserve"> Gmina Olecko</t>
  </si>
  <si>
    <t xml:space="preserve"> Gmina Świętajno</t>
  </si>
  <si>
    <t xml:space="preserve"> Gmina Świętajno 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</si>
  <si>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</si>
  <si>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</si>
  <si>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</si>
  <si>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</si>
  <si>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</si>
  <si>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</si>
  <si>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</si>
  <si>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</si>
  <si>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</si>
  <si>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</si>
  <si>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</si>
  <si>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</si>
  <si>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</si>
  <si>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</si>
  <si>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</si>
  <si>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</si>
  <si>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</si>
  <si>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§ 4410- podróże służbowe krajowe</t>
  </si>
  <si>
    <t>Wydatki majątkowe</t>
  </si>
  <si>
    <t>§ 6120- wydatki na zakupy inwestycyjne funduszy celowych</t>
  </si>
  <si>
    <t>(w zł)</t>
  </si>
  <si>
    <t>Kwota dotacji</t>
  </si>
  <si>
    <t>VIII.</t>
  </si>
  <si>
    <t>Udzielone przez powiat poręczenia i gwarancje (niewymagalne)</t>
  </si>
  <si>
    <t>dotacje cel.przekaz.gminie na podst.porozumień z jst</t>
  </si>
  <si>
    <t xml:space="preserve"> - Gmina Kowale Oleckie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</si>
  <si>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</si>
  <si>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</si>
  <si>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</si>
  <si>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</si>
  <si>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</si>
  <si>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</si>
  <si>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</si>
  <si>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>Nazwa zadania</t>
  </si>
  <si>
    <t>OGÓŁEM KOWTA DOTACJI</t>
  </si>
  <si>
    <t>Umasowienie sportu wsród dzieci, młodzieży i dorosłych, promocja powiatu na imprezach ogólnopolskich oraz organizacja imprez ponadlokalnych na terenie powiatu oleckiego</t>
  </si>
  <si>
    <t>§ 6120- wydatki na zakupy inwestycyjne</t>
  </si>
  <si>
    <t>4580</t>
  </si>
  <si>
    <t>kary i odszkod.na rzecz os.fiz.</t>
  </si>
  <si>
    <t>wpływy z różnych doch.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</si>
  <si>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</si>
  <si>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</si>
  <si>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</si>
  <si>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</si>
  <si>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rodziny zastępcze</t>
  </si>
  <si>
    <t>Powiat. Inspektorat Wet. w  Olecku</t>
  </si>
  <si>
    <t>6630</t>
  </si>
  <si>
    <t>Dotacja przekaz.sam.woj.na inwest.</t>
  </si>
  <si>
    <t>Dotacja przekaz.gminie</t>
  </si>
  <si>
    <t>Wydatki inwest.jedn.budżetowych</t>
  </si>
  <si>
    <t>Kredyty zaciągane w bankach krajowych</t>
  </si>
  <si>
    <t xml:space="preserve">Fundusz Ochrony Gr.Rolnych </t>
  </si>
  <si>
    <t>Ośrodki informacji turystycznej</t>
  </si>
  <si>
    <t>630</t>
  </si>
  <si>
    <t>TURYSTYKA</t>
  </si>
  <si>
    <t>63001</t>
  </si>
  <si>
    <t>dotacje celowe przekaz.gminie na inwestycje</t>
  </si>
  <si>
    <t>Przewodniczący Rady Powiatu: Wacław Sapieha</t>
  </si>
  <si>
    <t xml:space="preserve"> - dotacja z samorządu wojewódzkiego</t>
  </si>
  <si>
    <t>11.</t>
  </si>
  <si>
    <t>Rozl. z tyt. poręcz. i gwar. udziel. przez  j.s.t.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</si>
  <si>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</si>
  <si>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</si>
  <si>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</si>
  <si>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</si>
  <si>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</si>
  <si>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</si>
  <si>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</si>
  <si>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</si>
  <si>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</si>
  <si>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</si>
  <si>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</si>
  <si>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</si>
  <si>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Opracowania geodez. i kartogr.</t>
  </si>
  <si>
    <t>Plan 2005</t>
  </si>
  <si>
    <t xml:space="preserve">Zakład Doskonalenia Zawodowego w Białymstoku 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</si>
  <si>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</si>
  <si>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</si>
  <si>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</si>
  <si>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</si>
  <si>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</si>
  <si>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</si>
  <si>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</si>
  <si>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</si>
  <si>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Przewodniczący Rady Powiatu</t>
  </si>
  <si>
    <t xml:space="preserve">   Wacław Sapieha</t>
  </si>
  <si>
    <t>2007r.</t>
  </si>
  <si>
    <t xml:space="preserve">*  uwaga! </t>
  </si>
  <si>
    <t>zwiększenia /+/</t>
  </si>
  <si>
    <t>zmniejszenia /-/</t>
  </si>
  <si>
    <t>3240</t>
  </si>
  <si>
    <t>Przewodniczący Rady: Wacław Sapieha</t>
  </si>
  <si>
    <t>dot. podmiot. z budż. dla SP ZOZ</t>
  </si>
  <si>
    <t xml:space="preserve">    dotacje (§ § 2310, 2320,2330, 2540,  2560, 2610,2820,2830, 2950)</t>
  </si>
  <si>
    <t>Samorząd województwa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</si>
  <si>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</si>
  <si>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</si>
  <si>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</si>
  <si>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</si>
  <si>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</si>
  <si>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</si>
  <si>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</si>
  <si>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</si>
  <si>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</si>
  <si>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</si>
  <si>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</si>
  <si>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</si>
  <si>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zadania własne</t>
  </si>
  <si>
    <t>porozum.i umowy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</si>
  <si>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</si>
  <si>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</si>
  <si>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</si>
  <si>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</si>
  <si>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</si>
  <si>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</si>
  <si>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</si>
  <si>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>p.w. 2005</t>
  </si>
  <si>
    <t>Dotacje na inwestycje przekazane gminie</t>
  </si>
  <si>
    <t xml:space="preserve">  </t>
  </si>
  <si>
    <t>Dotacje dla gmin</t>
  </si>
  <si>
    <t>Zakup usług pozostałych`</t>
  </si>
  <si>
    <t>Dochody przeznaczone na pokrycie wydatków (I-V)</t>
  </si>
  <si>
    <t>VII.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</si>
  <si>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</si>
  <si>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</si>
  <si>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</si>
  <si>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</si>
  <si>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</si>
  <si>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</si>
  <si>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</si>
  <si>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</si>
  <si>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</si>
  <si>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</si>
  <si>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</si>
  <si>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</si>
  <si>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</si>
  <si>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</si>
  <si>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</si>
  <si>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</si>
  <si>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</si>
  <si>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</si>
  <si>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</si>
  <si>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</si>
  <si>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</si>
  <si>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</si>
  <si>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</si>
  <si>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</si>
  <si>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</si>
  <si>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</si>
  <si>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</si>
  <si>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</si>
  <si>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</si>
  <si>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</si>
  <si>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</si>
  <si>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</si>
  <si>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</si>
  <si>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</si>
  <si>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</si>
  <si>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</si>
  <si>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</si>
  <si>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</si>
  <si>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</si>
  <si>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</si>
  <si>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</si>
  <si>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</si>
  <si>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</si>
  <si>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</si>
  <si>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</si>
  <si>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</si>
  <si>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</si>
  <si>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</si>
  <si>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6610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</si>
  <si>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</si>
  <si>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</si>
  <si>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</si>
  <si>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</si>
  <si>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</si>
  <si>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</si>
  <si>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</si>
  <si>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</si>
  <si>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</si>
  <si>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</si>
  <si>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</si>
  <si>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</si>
  <si>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</si>
  <si>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</si>
  <si>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</si>
  <si>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</si>
  <si>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</si>
  <si>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</si>
  <si>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</si>
  <si>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</si>
  <si>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Dotacje przekazane gminie</t>
  </si>
  <si>
    <t>75019</t>
  </si>
  <si>
    <t>Rady powiatów</t>
  </si>
  <si>
    <t>Różne wydatki na rzecz os.fiz.</t>
  </si>
  <si>
    <t>Przewodniczący Rady Powiatu:Wacław Sapieha</t>
  </si>
  <si>
    <t>Załącznik nr 1a do Uchwały Rady Powiatu Nr......../......../....  z dnia .................</t>
  </si>
  <si>
    <t>Załącznik nr 1 do Uchwały Rady Powiatu Nr......../......../....  z dnia .................</t>
  </si>
  <si>
    <t xml:space="preserve">Załącznik nr 3 do Uchwały Rady Powiatu w Olecku Nr......./...../... z dn. ........... </t>
  </si>
  <si>
    <t xml:space="preserve">Załącznik nr 4 do Uchwały Rady Powiatu w Olecku Nr...../.../... z dn.............. </t>
  </si>
  <si>
    <t>Załącznik nr 5 do Uchwały Rady Powiatu w Olecku Nr ...../...../.... z dnia ..........</t>
  </si>
  <si>
    <t xml:space="preserve">                 Przewodniczący Rady Powiatu: Wacław Sapieha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</si>
  <si>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</si>
  <si>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</si>
  <si>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</si>
  <si>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</si>
  <si>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</si>
  <si>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</si>
  <si>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</si>
  <si>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</si>
  <si>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</si>
  <si>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</si>
  <si>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</si>
  <si>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</si>
  <si>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</si>
  <si>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</si>
  <si>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>Zespół Szkół Licealnych i Zawod. w Olecku</t>
  </si>
  <si>
    <t>Ośrodek Szkolno-Wychowawczy  w Olecku</t>
  </si>
  <si>
    <t>Pozostałe podatki na rzecz j.s.t.</t>
  </si>
  <si>
    <t>80197</t>
  </si>
  <si>
    <t>Gospodarstwa pomocnicze</t>
  </si>
  <si>
    <t>Pozostałe podatki na rzecz jst</t>
  </si>
  <si>
    <t>Komendy Powiatowe Policji</t>
  </si>
  <si>
    <t>Wyn.osobowe korpusu służby 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</si>
  <si>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</si>
  <si>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</si>
  <si>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</si>
  <si>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</si>
  <si>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</si>
  <si>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</si>
  <si>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4080</t>
  </si>
  <si>
    <t xml:space="preserve">Uposaż.żołnierzy zawodowych   i nadterminow. oraz funkcjonar. zwolnion. ze służby 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</si>
  <si>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</si>
  <si>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</si>
  <si>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</si>
  <si>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</si>
  <si>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</si>
  <si>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</si>
  <si>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</si>
  <si>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</si>
  <si>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</si>
  <si>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Rózne opłaty i składki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</si>
  <si>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</si>
  <si>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</si>
  <si>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</si>
  <si>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</si>
  <si>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</si>
  <si>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</si>
  <si>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</si>
  <si>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</si>
  <si>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</si>
  <si>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</si>
  <si>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</si>
  <si>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85226</t>
  </si>
  <si>
    <t>Zakupy inwestycyjne</t>
  </si>
  <si>
    <t>757</t>
  </si>
  <si>
    <t>75702</t>
  </si>
  <si>
    <t>Obsługa papierów wart., kredytów i pożyczek j.s.t.</t>
  </si>
  <si>
    <t>8070</t>
  </si>
  <si>
    <t>75704</t>
  </si>
  <si>
    <t>8020</t>
  </si>
  <si>
    <t>8040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</si>
  <si>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</si>
  <si>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</si>
  <si>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</si>
  <si>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</si>
  <si>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</si>
  <si>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</si>
  <si>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</si>
  <si>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</si>
  <si>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</si>
  <si>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</si>
  <si>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</si>
  <si>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</si>
  <si>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</si>
  <si>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</si>
  <si>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</si>
  <si>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</si>
  <si>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</si>
  <si>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</si>
  <si>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</si>
  <si>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</si>
  <si>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</si>
  <si>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</si>
  <si>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</si>
  <si>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</si>
  <si>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</si>
  <si>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</si>
  <si>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</si>
  <si>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</si>
  <si>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</si>
  <si>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L.Olszewski Olecko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</si>
  <si>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</si>
  <si>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</si>
  <si>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</si>
  <si>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</si>
  <si>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</si>
  <si>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</si>
  <si>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</si>
  <si>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</si>
  <si>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</si>
  <si>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</si>
  <si>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</si>
  <si>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</si>
  <si>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</si>
  <si>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</si>
  <si>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</si>
  <si>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</si>
  <si>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</si>
  <si>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</si>
  <si>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</si>
  <si>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</si>
  <si>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</si>
  <si>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</si>
  <si>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</si>
  <si>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80142</t>
  </si>
  <si>
    <t>Ośrodki szkolenia, dokształcania i doskonalenia kadr</t>
  </si>
  <si>
    <t>2320</t>
  </si>
  <si>
    <t>Spłaty pożyczek (WFOŚiGW)</t>
  </si>
  <si>
    <t>80145</t>
  </si>
  <si>
    <t>Obrona cywilna</t>
  </si>
  <si>
    <t>"Budowa drogi powiatowej nr 40491 Krupin-Wojnasy, etap I przez wieś Markowskie długości 951 m" w ramach ZPORR                     (lata: 2005-2006) *</t>
  </si>
  <si>
    <t xml:space="preserve">kredyty bankowe i pożyczki </t>
  </si>
  <si>
    <t>"Przebudowa drogi powiatowej nr 40454Olecko-Świętajno-Dunajek km 7+350 do km 13+000 dł. 5,65 km" w ramach ZPORR           (lata 2005-2007)**</t>
  </si>
  <si>
    <t>koszty "studium wykonalnośi" inwestycji (poz. 1 i 2) sfinansowano w roku 2004</t>
  </si>
  <si>
    <t>Komisje egzaminacyjne</t>
  </si>
  <si>
    <t>Różne wyd. na rzecz osób fiz.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</si>
  <si>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</si>
  <si>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</si>
  <si>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</si>
  <si>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</si>
  <si>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</si>
  <si>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</si>
  <si>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</si>
  <si>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</si>
  <si>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dotacja podmiot. z budż. dla         SP ZOZ</t>
  </si>
  <si>
    <t>6220</t>
  </si>
  <si>
    <t>dot. cel. z budż. na finans. lub dofin. koszt. realiz. inwest. i zak. inwest. innych jed. sekt. fin.publ.</t>
  </si>
  <si>
    <t>85121</t>
  </si>
  <si>
    <t>Lecznictwo ambulatoryjne</t>
  </si>
  <si>
    <t>85132</t>
  </si>
  <si>
    <t>Inspekcja Sanitarna</t>
  </si>
  <si>
    <t>Nagr.i wydat.nie zal.do wynagr.</t>
  </si>
  <si>
    <t>rózne wydatki na rzecz os.fiz.</t>
  </si>
  <si>
    <t>85141</t>
  </si>
  <si>
    <t>Ratownictwo medyczne</t>
  </si>
  <si>
    <t>85156</t>
  </si>
  <si>
    <t>skł. na ubezp. zdrow.osób nie obj. obow.ubezp.zdrow.</t>
  </si>
  <si>
    <t>4130</t>
  </si>
  <si>
    <t>Składki na ubezp.zdrow.</t>
  </si>
  <si>
    <t>4600</t>
  </si>
  <si>
    <t>kary i odszkodowania wypł.na rzecz os.pr.i innych jedn.org.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</si>
  <si>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</si>
  <si>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</si>
  <si>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</si>
  <si>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</si>
  <si>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</si>
  <si>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</si>
  <si>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2830</t>
  </si>
  <si>
    <t>Dot.cel.na zad.zlec.jedn.nie zal.do sektora fin.publ.</t>
  </si>
  <si>
    <t>Domy Pomocy Społecznej</t>
  </si>
  <si>
    <t>Nagr.i wydatki nie zal.do wynagrodzeń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</si>
  <si>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</si>
  <si>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</si>
  <si>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</si>
  <si>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</si>
  <si>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</si>
  <si>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</si>
  <si>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</si>
  <si>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Ośr. adopcyjno-opiekuńcze</t>
  </si>
  <si>
    <t>Składki na Fundusz Pracy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</si>
  <si>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</si>
  <si>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</si>
  <si>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</si>
  <si>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</si>
  <si>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</si>
  <si>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</si>
  <si>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</si>
  <si>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Wydatki na inwestycje</t>
  </si>
  <si>
    <t>4590</t>
  </si>
  <si>
    <t>85406</t>
  </si>
  <si>
    <t>Poradnie Psychol- Pedagog.</t>
  </si>
  <si>
    <t>85410</t>
  </si>
  <si>
    <t>Internaty i bursy szkolne</t>
  </si>
  <si>
    <t>Wyd.na zakupy inwest. jed.budż</t>
  </si>
  <si>
    <t>85412</t>
  </si>
  <si>
    <t>Kolonie i obozy oraz inne formy wypoczynu dzieci i młodzieży  szkolnej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</si>
  <si>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</si>
  <si>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</si>
  <si>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</si>
  <si>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</si>
  <si>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</si>
  <si>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 xml:space="preserve">Składki na ubez.społ. </t>
  </si>
  <si>
    <t>różne wydatki na rzecz os.fiz.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</si>
  <si>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</si>
  <si>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</si>
  <si>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</si>
  <si>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</si>
  <si>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</si>
  <si>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</si>
  <si>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</si>
  <si>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</si>
  <si>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</si>
  <si>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92601</t>
  </si>
  <si>
    <t>Obiekty sportowe</t>
  </si>
  <si>
    <t>Wydatki inwest.jednost. budżet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</si>
  <si>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</si>
  <si>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</si>
  <si>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</si>
  <si>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</si>
  <si>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</si>
  <si>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</si>
  <si>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</si>
  <si>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</si>
  <si>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</si>
  <si>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</si>
  <si>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Kary i odszkod.wypłac.osobom fiz.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</si>
  <si>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</si>
  <si>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</si>
  <si>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</si>
  <si>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</si>
  <si>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</si>
  <si>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Komenda Powiatowa Policji</t>
  </si>
  <si>
    <t>6150</t>
  </si>
  <si>
    <t>Wpłaty jednostek na rzecz środków specjalnych na finansowanie lub dofinansowanie zadań inwestycyjnych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</si>
  <si>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</si>
  <si>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</si>
  <si>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</si>
  <si>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</si>
  <si>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</si>
  <si>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</si>
  <si>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</si>
  <si>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</si>
  <si>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</si>
  <si>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</si>
  <si>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</si>
  <si>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</si>
  <si>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</si>
  <si>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</si>
  <si>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 xml:space="preserve">Zakup energii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</si>
  <si>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</si>
  <si>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</si>
  <si>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</si>
  <si>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</si>
  <si>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</si>
  <si>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</si>
  <si>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</si>
  <si>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</si>
  <si>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</si>
  <si>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</si>
  <si>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</si>
  <si>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</si>
  <si>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</si>
  <si>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</si>
  <si>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</si>
  <si>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</si>
  <si>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</si>
  <si>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</si>
  <si>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</si>
  <si>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</si>
  <si>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</si>
  <si>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</si>
  <si>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</si>
  <si>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</si>
  <si>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</si>
  <si>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</si>
  <si>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Inspekcja sanitarna</t>
  </si>
  <si>
    <t>II</t>
  </si>
  <si>
    <t>DOCHODY I WYDATKI ZWIĄZANE Z REALIZACJĄ ZADAŃ ZLECONYCH</t>
  </si>
  <si>
    <t>211</t>
  </si>
  <si>
    <t>Prace geodezyjno - urządzeniowe na potrzeby rolnictwa</t>
  </si>
  <si>
    <t>Wskaź. %   (3:2)</t>
  </si>
  <si>
    <t>Struktura procentowa</t>
  </si>
  <si>
    <t>I. Udziały we wpływach z podatków stanowiących dochody państwa (PIT i CIT)</t>
  </si>
  <si>
    <t>II. Dochody z majątku powiatu</t>
  </si>
  <si>
    <t xml:space="preserve">    1. Ze sprzedaży</t>
  </si>
  <si>
    <t xml:space="preserve">    2. Z dzierżawy</t>
  </si>
  <si>
    <t>III. Wpłaty od jednostek organizacyjnych powiatu</t>
  </si>
  <si>
    <t>IV. Pozostałe dochody</t>
  </si>
  <si>
    <t>A. Ogółem dochody własne (I+II+III+IV)</t>
  </si>
  <si>
    <t>V. Subwencja ogólna</t>
  </si>
  <si>
    <t xml:space="preserve">VI. Ogółem dotacje 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</si>
  <si>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</si>
  <si>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</si>
  <si>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</si>
  <si>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</si>
  <si>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</si>
  <si>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</si>
  <si>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Dot.podmiot z budż. dla szkół niepub. (Cent. Eduk. Specj.w Olecku)</t>
  </si>
  <si>
    <t>- z funduszy celowych (§ 6260 i 2440)</t>
  </si>
  <si>
    <t>Środki otrzymane od pozostałych jedn. sektora f.p.</t>
  </si>
  <si>
    <t>subwencja uzupełniająca części wyrównwczej subwencji ogólnej</t>
  </si>
  <si>
    <t>B. Ogółem subwencje i dotacje (V i VI)</t>
  </si>
  <si>
    <t>DOCHODY OGÓŁEM ( A+B )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</si>
  <si>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</si>
  <si>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</si>
  <si>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</si>
  <si>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</si>
  <si>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</si>
  <si>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</si>
  <si>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dochody z majątku</t>
  </si>
  <si>
    <t>wpłaty od jednostek org.</t>
  </si>
  <si>
    <t>pozostałe dochody</t>
  </si>
  <si>
    <t>B.</t>
  </si>
  <si>
    <t>Subwencje</t>
  </si>
  <si>
    <t>C.</t>
  </si>
  <si>
    <t>Dotacje</t>
  </si>
  <si>
    <t>Wydatki ogółem</t>
  </si>
  <si>
    <t>Spłaty pożyczek i kredytów (A+B)</t>
  </si>
  <si>
    <t>Spłata zaciągniętych pożyczek i kredytów</t>
  </si>
  <si>
    <t>w tym: spłata rat</t>
  </si>
  <si>
    <t>odsetki</t>
  </si>
  <si>
    <t>Wykup papier. wart. i dyskonto weksli</t>
  </si>
  <si>
    <t>Wynik (I-II)</t>
  </si>
  <si>
    <t>Planowana łączna kwota długu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</si>
  <si>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</si>
  <si>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</si>
  <si>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</si>
  <si>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</si>
  <si>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</si>
  <si>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</si>
  <si>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</si>
  <si>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Łączne nakłady finansowe (6+12+13)</t>
  </si>
  <si>
    <t>Komendy Powiatowe Państwowej Straży Pożarnej</t>
  </si>
  <si>
    <t>Wynagr.osobow.korpusu służby cywilnej</t>
  </si>
  <si>
    <t>Uposaż.żołnierzy zawod. i nadtermin.oraz funkcjon. zwol. ze służby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</si>
  <si>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</si>
  <si>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</si>
  <si>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</si>
  <si>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</si>
  <si>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</si>
  <si>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</si>
  <si>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</si>
  <si>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</si>
  <si>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Dochody i wydatki związane z realizacją zadań wspólnych realizowanych w drodze umów (porozumień) z jednostkami samorządu terytorialnego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</si>
  <si>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</si>
  <si>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</si>
  <si>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</si>
  <si>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</si>
  <si>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</si>
  <si>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</si>
  <si>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</si>
  <si>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</si>
  <si>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</si>
  <si>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</si>
  <si>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</si>
  <si>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</si>
  <si>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</si>
  <si>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</si>
  <si>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</si>
  <si>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</si>
  <si>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</si>
  <si>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</si>
  <si>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</si>
  <si>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</si>
  <si>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</si>
  <si>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</si>
  <si>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</si>
  <si>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</si>
  <si>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</si>
  <si>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</si>
  <si>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</si>
  <si>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</si>
  <si>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</si>
  <si>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</si>
  <si>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wpływy do budżetu ze środków specjalnych</t>
  </si>
  <si>
    <t>2390</t>
  </si>
  <si>
    <t>Plan 2006</t>
  </si>
  <si>
    <t>wpłaty z  zysku jednoosobowych spółek samorządu tertytorailnego</t>
  </si>
  <si>
    <t>0730</t>
  </si>
  <si>
    <t>Pow.Centra Pomocy Rodzinie</t>
  </si>
  <si>
    <t>6290</t>
  </si>
  <si>
    <t>6298</t>
  </si>
  <si>
    <t>środki na dofin.własnych inwest. pozyskane z innych źródeł</t>
  </si>
  <si>
    <t>DOTACJE CELOWE, OTRZYMANE Z GMIN, POWIATÓW I WOJEWÓDZTWA</t>
  </si>
  <si>
    <t>dotacje celowe trzymane z gmin na inwestycje</t>
  </si>
  <si>
    <t>szpitale ogólne</t>
  </si>
  <si>
    <t>przeciwdziałanie alkoholozmowi</t>
  </si>
  <si>
    <t>dot.cel.otrzymane z samorz.woj.na zad.bież.na podst.umów</t>
  </si>
  <si>
    <t>dot.cel.otrzymane z samorz.woj..na zak.inwest.na podst.umów</t>
  </si>
  <si>
    <t>Komendy powiatowe Państwowej Straży Pożarnej</t>
  </si>
  <si>
    <t>Szkolnictwo wyższe</t>
  </si>
  <si>
    <t>dptacje celowe otrzymane z powiatu na zadania bieżące realizowane na podstawie porozumień (umów) między j.s.t.</t>
  </si>
  <si>
    <t>placówki opiek-wychowawcze</t>
  </si>
  <si>
    <t>dotacje celowe otrzymane od samorządu województwa na zadania bieżące realizowane na podstawie porozumień (umów) między j.s.t.</t>
  </si>
  <si>
    <t>dotacje celowe na zak.inwest.</t>
  </si>
  <si>
    <t>świad.rodzinne oraz zasiłki na ubezp. emeryt.rentowe</t>
  </si>
  <si>
    <t>jednostki specjalistycznego poradnictwa, mieszkania chronione i ośrodki interwencji kryzysowej</t>
  </si>
  <si>
    <t>DOTACJE OTRZYMANE  Z FUNDUSZY CELOWYCH</t>
  </si>
  <si>
    <t>dotacja na inwestycje</t>
  </si>
  <si>
    <t>dotacja na dofinansowanie kosztów realizacji zakupów inwestycyjnych jednostek sektora finansów publicznych</t>
  </si>
  <si>
    <t>datacje na realizację zadań bieżących jednostek sektora  finansów publicznych</t>
  </si>
  <si>
    <t>Wojewódzki Fundusz Ochrony Środowiska i Gospodarki Wodnej</t>
  </si>
  <si>
    <t>Powiatowy Fundusz Ochrony Środowiska i Gospodarki Wodnej</t>
  </si>
  <si>
    <t>SUBWENCJE</t>
  </si>
  <si>
    <t>część oświatowa subwencji ogólnej dla powiatów</t>
  </si>
  <si>
    <t>subwencje ogólne z udżetu państwa</t>
  </si>
  <si>
    <t>uzupełnienie subwencj ogólnej dla powiatów</t>
  </si>
  <si>
    <t xml:space="preserve">środki na inwestycje rozpoczęte przed dniem 1 stycznia 1999r. 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</si>
  <si>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</si>
  <si>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</si>
  <si>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</si>
  <si>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</si>
  <si>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</si>
  <si>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</si>
  <si>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</si>
  <si>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</si>
  <si>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</si>
  <si>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</si>
  <si>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</si>
  <si>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</si>
  <si>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</si>
  <si>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</si>
  <si>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</si>
  <si>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VI</t>
  </si>
  <si>
    <t>Rodzaj zadłużenia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</si>
  <si>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</si>
  <si>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</si>
  <si>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</si>
  <si>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</si>
  <si>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</si>
  <si>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</si>
  <si>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</si>
  <si>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</si>
  <si>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</si>
  <si>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</si>
  <si>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</si>
  <si>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</si>
  <si>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</si>
  <si>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</si>
  <si>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</si>
  <si>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</si>
  <si>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Wydatki na zakupy inwest.j.budż.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</si>
  <si>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</si>
  <si>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</si>
  <si>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</si>
  <si>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</si>
  <si>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</si>
  <si>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</si>
  <si>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4307</t>
  </si>
  <si>
    <t>6059</t>
  </si>
  <si>
    <t>Wydatki inwest.jednostek budżet.</t>
  </si>
  <si>
    <t>Koszty postępow. sądow. i prok.</t>
  </si>
  <si>
    <t>uposaż. fun.zwalnianych ze służby</t>
  </si>
  <si>
    <t>Wyn.osob. korpusu sł.cywilnej</t>
  </si>
  <si>
    <t>PLAN WYDATKÓW BUDŻETU POWIATU NA ROK 2006</t>
  </si>
  <si>
    <t>Przewidywane wykonanie 2005</t>
  </si>
  <si>
    <t>projekt planu 2006</t>
  </si>
  <si>
    <t>PLAN DOCHODÓW BUDŻETU POWIATU NA ROK 2006</t>
  </si>
  <si>
    <t>PLAN DOCHODÓW BUDŻETU POWIATU NA 2006 ROK</t>
  </si>
  <si>
    <t>Przewidywane wykonanie za 2005 r.</t>
  </si>
  <si>
    <t>Projekt planu 2006 r</t>
  </si>
  <si>
    <t>p.w.2005</t>
  </si>
  <si>
    <t>plan 2006</t>
  </si>
  <si>
    <t>Dotacje dla niepublicznych przedszkoli, szkół i placówek oświatowo - wychowawczych w roku 2006</t>
  </si>
  <si>
    <t>Wykaz zadań własnych powiatu zlecanych do realizacji podmiotom nie zaliczanym do sektora finansó publicznych i nie działających w celu osiągnięcia zysku w roku 2006</t>
  </si>
  <si>
    <t>Nagr.i wyd. nie zal. do wynagr.</t>
  </si>
  <si>
    <t>Dotacje celowe przek.gminie</t>
  </si>
  <si>
    <t>Dotacje celowe przek.powiatowi</t>
  </si>
  <si>
    <t>85212</t>
  </si>
  <si>
    <t>Świad.rodzinne oraz składki na ubezp.emeryt.i rentowe</t>
  </si>
  <si>
    <t>3110 Świadczenia społeczne</t>
  </si>
  <si>
    <t>wydatki inwestycyjne (§§ 6050,6052,6059,6060)</t>
  </si>
  <si>
    <t>Dot. cel.przekazane powiatowi</t>
  </si>
  <si>
    <t>Stypendia różne</t>
  </si>
  <si>
    <t>Procentowy (%) udział długu w dochodach</t>
  </si>
  <si>
    <t>wskaźnik % (5:4)</t>
  </si>
  <si>
    <t>Załącznik nr 8 do Uchwały Rady Powiatu nr......../........./...........z dnia ..................</t>
  </si>
  <si>
    <t>Wydatki na programy i projekty ze środków funduszy strukturalnych i Funduszu Spójności(art.. 124 ust.1 pkt.4a ustawy o finansach publicznych)</t>
  </si>
  <si>
    <t>Projekt</t>
  </si>
  <si>
    <t>Kategoria (dział, rozdział)</t>
  </si>
  <si>
    <t>Wydatki w okresie realizacji Projektu (całkowita wartość projektu) (6+7)</t>
  </si>
  <si>
    <t>Planowane wydatki:</t>
  </si>
  <si>
    <t>Srodki z budżetu krajowego</t>
  </si>
  <si>
    <t>Środki z budżetu UE</t>
  </si>
  <si>
    <t>2006 rok</t>
  </si>
  <si>
    <t>Wydatki razem (8+12)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</si>
</sst>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u val="single"/>
      <sz val="14"/>
      <name val="Arial CE"/>
      <family val="2"/>
    </font>
    <font>
      <b/>
      <i/>
      <sz val="8"/>
      <name val="Arial CE"/>
      <family val="2"/>
    </font>
    <font>
      <sz val="8"/>
      <name val="Tahoma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6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5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9" xfId="0" applyNumberFormat="1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2" xfId="0" applyFont="1" applyBorder="1" applyAlignment="1">
      <alignment horizontal="center"/>
    </xf>
    <xf numFmtId="165" fontId="0" fillId="0" borderId="5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5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4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20" xfId="0" applyBorder="1" applyAlignment="1">
      <alignment/>
    </xf>
    <xf numFmtId="0" fontId="4" fillId="0" borderId="14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0" fillId="0" borderId="9" xfId="0" applyNumberFormat="1" applyBorder="1" applyAlignment="1">
      <alignment/>
    </xf>
    <xf numFmtId="0" fontId="4" fillId="0" borderId="9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0" xfId="0" applyAlignment="1">
      <alignment horizontal="right"/>
    </xf>
    <xf numFmtId="0" fontId="4" fillId="0" borderId="28" xfId="0" applyFont="1" applyBorder="1" applyAlignment="1">
      <alignment horizontal="center"/>
    </xf>
    <xf numFmtId="41" fontId="9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5" xfId="0" applyNumberFormat="1" applyBorder="1" applyAlignment="1">
      <alignment horizontal="left"/>
    </xf>
    <xf numFmtId="2" fontId="4" fillId="0" borderId="1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0" fontId="8" fillId="0" borderId="5" xfId="0" applyFont="1" applyBorder="1" applyAlignment="1">
      <alignment/>
    </xf>
    <xf numFmtId="164" fontId="4" fillId="0" borderId="5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4" fontId="0" fillId="0" borderId="5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left"/>
    </xf>
    <xf numFmtId="49" fontId="0" fillId="0" borderId="9" xfId="0" applyNumberFormat="1" applyBorder="1" applyAlignment="1">
      <alignment horizontal="left"/>
    </xf>
    <xf numFmtId="164" fontId="0" fillId="0" borderId="9" xfId="0" applyNumberFormat="1" applyBorder="1" applyAlignment="1">
      <alignment/>
    </xf>
    <xf numFmtId="10" fontId="0" fillId="0" borderId="9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left"/>
    </xf>
    <xf numFmtId="165" fontId="4" fillId="0" borderId="9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32" xfId="0" applyBorder="1" applyAlignment="1">
      <alignment horizontal="left"/>
    </xf>
    <xf numFmtId="0" fontId="4" fillId="0" borderId="5" xfId="0" applyFont="1" applyBorder="1" applyAlignment="1">
      <alignment horizontal="left"/>
    </xf>
    <xf numFmtId="165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49" fontId="4" fillId="0" borderId="9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/>
    </xf>
    <xf numFmtId="10" fontId="4" fillId="0" borderId="9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/>
    </xf>
    <xf numFmtId="165" fontId="0" fillId="0" borderId="9" xfId="0" applyNumberFormat="1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49" fontId="0" fillId="0" borderId="37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8" xfId="0" applyNumberFormat="1" applyBorder="1" applyAlignment="1">
      <alignment/>
    </xf>
    <xf numFmtId="0" fontId="4" fillId="0" borderId="26" xfId="0" applyFont="1" applyBorder="1" applyAlignment="1">
      <alignment horizontal="center"/>
    </xf>
    <xf numFmtId="49" fontId="0" fillId="0" borderId="27" xfId="0" applyNumberFormat="1" applyBorder="1" applyAlignment="1">
      <alignment/>
    </xf>
    <xf numFmtId="49" fontId="0" fillId="0" borderId="39" xfId="0" applyNumberForma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40" xfId="0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1" xfId="0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0" xfId="0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0" fontId="4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49" fontId="4" fillId="0" borderId="38" xfId="0" applyNumberFormat="1" applyFont="1" applyBorder="1" applyAlignment="1">
      <alignment/>
    </xf>
    <xf numFmtId="49" fontId="0" fillId="0" borderId="38" xfId="0" applyNumberForma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4" fillId="0" borderId="4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47" xfId="0" applyBorder="1" applyAlignment="1">
      <alignment wrapText="1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/>
    </xf>
    <xf numFmtId="165" fontId="12" fillId="0" borderId="9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2" fillId="0" borderId="28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NumberFormat="1" applyBorder="1" applyAlignment="1">
      <alignment/>
    </xf>
    <xf numFmtId="0" fontId="12" fillId="0" borderId="1" xfId="0" applyFont="1" applyBorder="1" applyAlignment="1">
      <alignment horizontal="center" wrapText="1"/>
    </xf>
    <xf numFmtId="0" fontId="14" fillId="0" borderId="5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46" xfId="0" applyFont="1" applyBorder="1" applyAlignment="1">
      <alignment/>
    </xf>
    <xf numFmtId="0" fontId="0" fillId="0" borderId="43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10" fillId="0" borderId="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10" fillId="0" borderId="9" xfId="0" applyFont="1" applyBorder="1" applyAlignment="1">
      <alignment vertical="center" wrapText="1"/>
    </xf>
    <xf numFmtId="10" fontId="0" fillId="0" borderId="5" xfId="0" applyNumberFormat="1" applyBorder="1" applyAlignment="1">
      <alignment/>
    </xf>
    <xf numFmtId="10" fontId="0" fillId="0" borderId="5" xfId="0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9" xfId="0" applyNumberFormat="1" applyBorder="1" applyAlignment="1">
      <alignment/>
    </xf>
    <xf numFmtId="49" fontId="4" fillId="0" borderId="5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165" fontId="0" fillId="0" borderId="9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0" fillId="0" borderId="2" xfId="0" applyBorder="1" applyAlignment="1">
      <alignment/>
    </xf>
    <xf numFmtId="2" fontId="0" fillId="0" borderId="5" xfId="0" applyNumberFormat="1" applyBorder="1" applyAlignment="1">
      <alignment/>
    </xf>
    <xf numFmtId="0" fontId="10" fillId="2" borderId="12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10" fontId="0" fillId="0" borderId="5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45" xfId="0" applyNumberFormat="1" applyBorder="1" applyAlignment="1">
      <alignment/>
    </xf>
    <xf numFmtId="10" fontId="0" fillId="0" borderId="23" xfId="0" applyNumberFormat="1" applyBorder="1" applyAlignment="1">
      <alignment/>
    </xf>
    <xf numFmtId="10" fontId="0" fillId="0" borderId="53" xfId="0" applyNumberFormat="1" applyBorder="1" applyAlignment="1">
      <alignment/>
    </xf>
    <xf numFmtId="165" fontId="10" fillId="0" borderId="1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1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10" fontId="0" fillId="0" borderId="4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165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4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49" fontId="0" fillId="3" borderId="5" xfId="0" applyNumberFormat="1" applyFill="1" applyBorder="1" applyAlignment="1">
      <alignment horizontal="left"/>
    </xf>
    <xf numFmtId="165" fontId="4" fillId="3" borderId="5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/>
    </xf>
    <xf numFmtId="10" fontId="4" fillId="3" borderId="5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4" fillId="3" borderId="5" xfId="0" applyNumberFormat="1" applyFont="1" applyFill="1" applyBorder="1" applyAlignment="1">
      <alignment/>
    </xf>
    <xf numFmtId="0" fontId="4" fillId="3" borderId="14" xfId="0" applyFont="1" applyFill="1" applyBorder="1" applyAlignment="1">
      <alignment/>
    </xf>
    <xf numFmtId="2" fontId="4" fillId="3" borderId="14" xfId="0" applyNumberFormat="1" applyFont="1" applyFill="1" applyBorder="1" applyAlignment="1">
      <alignment/>
    </xf>
    <xf numFmtId="0" fontId="4" fillId="3" borderId="35" xfId="0" applyFont="1" applyFill="1" applyBorder="1" applyAlignment="1">
      <alignment/>
    </xf>
    <xf numFmtId="0" fontId="0" fillId="3" borderId="0" xfId="0" applyFill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165" fontId="4" fillId="3" borderId="15" xfId="0" applyNumberFormat="1" applyFont="1" applyFill="1" applyBorder="1" applyAlignment="1">
      <alignment/>
    </xf>
    <xf numFmtId="164" fontId="4" fillId="3" borderId="14" xfId="0" applyNumberFormat="1" applyFont="1" applyFill="1" applyBorder="1" applyAlignment="1">
      <alignment/>
    </xf>
    <xf numFmtId="10" fontId="4" fillId="3" borderId="54" xfId="0" applyNumberFormat="1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0" fillId="3" borderId="55" xfId="0" applyFill="1" applyBorder="1" applyAlignment="1">
      <alignment horizontal="left"/>
    </xf>
    <xf numFmtId="165" fontId="4" fillId="3" borderId="55" xfId="0" applyNumberFormat="1" applyFont="1" applyFill="1" applyBorder="1" applyAlignment="1">
      <alignment/>
    </xf>
    <xf numFmtId="164" fontId="4" fillId="3" borderId="55" xfId="0" applyNumberFormat="1" applyFont="1" applyFill="1" applyBorder="1" applyAlignment="1">
      <alignment/>
    </xf>
    <xf numFmtId="2" fontId="0" fillId="3" borderId="55" xfId="0" applyNumberFormat="1" applyFill="1" applyBorder="1" applyAlignment="1">
      <alignment/>
    </xf>
    <xf numFmtId="10" fontId="0" fillId="3" borderId="55" xfId="0" applyNumberFormat="1" applyFont="1" applyFill="1" applyBorder="1" applyAlignment="1">
      <alignment/>
    </xf>
    <xf numFmtId="0" fontId="0" fillId="3" borderId="55" xfId="0" applyFill="1" applyBorder="1" applyAlignment="1">
      <alignment/>
    </xf>
    <xf numFmtId="0" fontId="4" fillId="3" borderId="55" xfId="0" applyFont="1" applyFill="1" applyBorder="1" applyAlignment="1">
      <alignment/>
    </xf>
    <xf numFmtId="0" fontId="4" fillId="3" borderId="51" xfId="0" applyFont="1" applyFill="1" applyBorder="1" applyAlignment="1">
      <alignment/>
    </xf>
    <xf numFmtId="10" fontId="4" fillId="3" borderId="55" xfId="0" applyNumberFormat="1" applyFont="1" applyFill="1" applyBorder="1" applyAlignment="1">
      <alignment/>
    </xf>
    <xf numFmtId="10" fontId="4" fillId="3" borderId="56" xfId="0" applyNumberFormat="1" applyFont="1" applyFill="1" applyBorder="1" applyAlignment="1">
      <alignment/>
    </xf>
    <xf numFmtId="2" fontId="4" fillId="4" borderId="22" xfId="0" applyNumberFormat="1" applyFont="1" applyFill="1" applyBorder="1" applyAlignment="1">
      <alignment/>
    </xf>
    <xf numFmtId="10" fontId="4" fillId="4" borderId="22" xfId="0" applyNumberFormat="1" applyFont="1" applyFill="1" applyBorder="1" applyAlignment="1">
      <alignment/>
    </xf>
    <xf numFmtId="10" fontId="4" fillId="4" borderId="57" xfId="0" applyNumberFormat="1" applyFont="1" applyFill="1" applyBorder="1" applyAlignment="1">
      <alignment/>
    </xf>
    <xf numFmtId="0" fontId="0" fillId="0" borderId="5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3" xfId="0" applyBorder="1" applyAlignment="1">
      <alignment wrapText="1"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top"/>
      <protection/>
    </xf>
    <xf numFmtId="0" fontId="0" fillId="0" borderId="1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4" fillId="0" borderId="55" xfId="0" applyFont="1" applyBorder="1" applyAlignment="1" applyProtection="1">
      <alignment horizontal="center"/>
      <protection/>
    </xf>
    <xf numFmtId="0" fontId="0" fillId="0" borderId="59" xfId="0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4" fillId="0" borderId="9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3" borderId="16" xfId="0" applyFont="1" applyFill="1" applyBorder="1" applyAlignment="1">
      <alignment wrapText="1"/>
    </xf>
    <xf numFmtId="49" fontId="4" fillId="3" borderId="16" xfId="0" applyNumberFormat="1" applyFont="1" applyFill="1" applyBorder="1" applyAlignment="1">
      <alignment horizontal="left"/>
    </xf>
    <xf numFmtId="0" fontId="4" fillId="3" borderId="16" xfId="0" applyFont="1" applyFill="1" applyBorder="1" applyAlignment="1">
      <alignment/>
    </xf>
    <xf numFmtId="2" fontId="4" fillId="3" borderId="16" xfId="0" applyNumberFormat="1" applyFont="1" applyFill="1" applyBorder="1" applyAlignment="1">
      <alignment/>
    </xf>
    <xf numFmtId="0" fontId="4" fillId="3" borderId="50" xfId="0" applyFont="1" applyFill="1" applyBorder="1" applyAlignment="1">
      <alignment/>
    </xf>
    <xf numFmtId="0" fontId="4" fillId="3" borderId="42" xfId="0" applyNumberFormat="1" applyFont="1" applyFill="1" applyBorder="1" applyAlignment="1">
      <alignment/>
    </xf>
    <xf numFmtId="10" fontId="4" fillId="3" borderId="16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49" fontId="0" fillId="0" borderId="5" xfId="0" applyNumberFormat="1" applyFont="1" applyFill="1" applyBorder="1" applyAlignment="1">
      <alignment horizontal="left"/>
    </xf>
    <xf numFmtId="0" fontId="0" fillId="0" borderId="0" xfId="0" applyAlignment="1" applyProtection="1">
      <alignment horizontal="right"/>
      <protection/>
    </xf>
    <xf numFmtId="0" fontId="4" fillId="0" borderId="60" xfId="0" applyFont="1" applyBorder="1" applyAlignment="1" applyProtection="1">
      <alignment horizontal="right"/>
      <protection/>
    </xf>
    <xf numFmtId="0" fontId="4" fillId="3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left" wrapText="1"/>
    </xf>
    <xf numFmtId="165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10" fontId="4" fillId="0" borderId="4" xfId="0" applyNumberFormat="1" applyFont="1" applyBorder="1" applyAlignment="1">
      <alignment/>
    </xf>
    <xf numFmtId="0" fontId="4" fillId="0" borderId="33" xfId="0" applyFont="1" applyBorder="1" applyAlignment="1">
      <alignment/>
    </xf>
    <xf numFmtId="2" fontId="0" fillId="0" borderId="4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0" fontId="0" fillId="0" borderId="5" xfId="0" applyNumberFormat="1" applyBorder="1" applyAlignment="1">
      <alignment/>
    </xf>
    <xf numFmtId="0" fontId="0" fillId="0" borderId="0" xfId="0" applyAlignment="1">
      <alignment/>
    </xf>
    <xf numFmtId="10" fontId="0" fillId="0" borderId="5" xfId="0" applyNumberFormat="1" applyFont="1" applyBorder="1" applyAlignment="1">
      <alignment/>
    </xf>
    <xf numFmtId="10" fontId="0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49" fontId="4" fillId="5" borderId="5" xfId="0" applyNumberFormat="1" applyFont="1" applyFill="1" applyBorder="1" applyAlignment="1">
      <alignment/>
    </xf>
    <xf numFmtId="0" fontId="4" fillId="5" borderId="5" xfId="0" applyFont="1" applyFill="1" applyBorder="1" applyAlignment="1">
      <alignment/>
    </xf>
    <xf numFmtId="10" fontId="0" fillId="5" borderId="5" xfId="0" applyNumberFormat="1" applyFill="1" applyBorder="1" applyAlignment="1">
      <alignment/>
    </xf>
    <xf numFmtId="10" fontId="0" fillId="5" borderId="5" xfId="0" applyNumberFormat="1" applyFill="1" applyBorder="1" applyAlignment="1">
      <alignment horizontal="center"/>
    </xf>
    <xf numFmtId="0" fontId="0" fillId="5" borderId="0" xfId="0" applyFill="1" applyAlignment="1">
      <alignment/>
    </xf>
    <xf numFmtId="49" fontId="4" fillId="5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49" fontId="0" fillId="5" borderId="1" xfId="0" applyNumberForma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49" fontId="4" fillId="5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7" fillId="5" borderId="1" xfId="0" applyFont="1" applyFill="1" applyBorder="1" applyAlignment="1">
      <alignment wrapText="1"/>
    </xf>
    <xf numFmtId="10" fontId="0" fillId="0" borderId="5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left"/>
    </xf>
    <xf numFmtId="10" fontId="0" fillId="0" borderId="5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10" fontId="0" fillId="2" borderId="5" xfId="0" applyNumberFormat="1" applyFill="1" applyBorder="1" applyAlignment="1">
      <alignment/>
    </xf>
    <xf numFmtId="10" fontId="0" fillId="2" borderId="5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/>
    </xf>
    <xf numFmtId="2" fontId="4" fillId="4" borderId="5" xfId="0" applyNumberFormat="1" applyFont="1" applyFill="1" applyBorder="1" applyAlignment="1">
      <alignment/>
    </xf>
    <xf numFmtId="10" fontId="4" fillId="4" borderId="5" xfId="0" applyNumberFormat="1" applyFont="1" applyFill="1" applyBorder="1" applyAlignment="1">
      <alignment/>
    </xf>
    <xf numFmtId="2" fontId="0" fillId="0" borderId="5" xfId="0" applyNumberFormat="1" applyFont="1" applyBorder="1" applyAlignment="1">
      <alignment/>
    </xf>
    <xf numFmtId="0" fontId="4" fillId="0" borderId="32" xfId="0" applyFont="1" applyBorder="1" applyAlignment="1">
      <alignment wrapText="1"/>
    </xf>
    <xf numFmtId="0" fontId="4" fillId="0" borderId="61" xfId="0" applyFont="1" applyBorder="1" applyAlignment="1">
      <alignment wrapText="1"/>
    </xf>
    <xf numFmtId="0" fontId="10" fillId="3" borderId="62" xfId="0" applyFont="1" applyFill="1" applyBorder="1" applyAlignment="1">
      <alignment vertical="center" wrapText="1"/>
    </xf>
    <xf numFmtId="0" fontId="4" fillId="0" borderId="32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4" fillId="3" borderId="62" xfId="0" applyFont="1" applyFill="1" applyBorder="1" applyAlignment="1">
      <alignment wrapText="1"/>
    </xf>
    <xf numFmtId="0" fontId="8" fillId="3" borderId="10" xfId="0" applyFont="1" applyFill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4" xfId="0" applyBorder="1" applyAlignment="1">
      <alignment wrapText="1"/>
    </xf>
    <xf numFmtId="0" fontId="0" fillId="4" borderId="1" xfId="0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3" borderId="63" xfId="0" applyFont="1" applyFill="1" applyBorder="1" applyAlignment="1">
      <alignment wrapText="1"/>
    </xf>
    <xf numFmtId="0" fontId="4" fillId="3" borderId="16" xfId="0" applyFont="1" applyFill="1" applyBorder="1" applyAlignment="1">
      <alignment horizontal="left"/>
    </xf>
    <xf numFmtId="165" fontId="4" fillId="3" borderId="16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0" fontId="4" fillId="3" borderId="42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0" fillId="2" borderId="43" xfId="0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10" fontId="0" fillId="3" borderId="56" xfId="0" applyNumberFormat="1" applyFont="1" applyFill="1" applyBorder="1" applyAlignment="1">
      <alignment/>
    </xf>
    <xf numFmtId="2" fontId="0" fillId="3" borderId="16" xfId="0" applyNumberFormat="1" applyFont="1" applyFill="1" applyBorder="1" applyAlignment="1">
      <alignment/>
    </xf>
    <xf numFmtId="10" fontId="0" fillId="3" borderId="16" xfId="0" applyNumberFormat="1" applyFont="1" applyFill="1" applyBorder="1" applyAlignment="1">
      <alignment/>
    </xf>
    <xf numFmtId="10" fontId="0" fillId="3" borderId="64" xfId="0" applyNumberFormat="1" applyFont="1" applyFill="1" applyBorder="1" applyAlignment="1">
      <alignment/>
    </xf>
    <xf numFmtId="10" fontId="0" fillId="3" borderId="1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2" fontId="0" fillId="3" borderId="14" xfId="0" applyNumberFormat="1" applyFont="1" applyFill="1" applyBorder="1" applyAlignment="1">
      <alignment/>
    </xf>
    <xf numFmtId="10" fontId="0" fillId="3" borderId="14" xfId="0" applyNumberFormat="1" applyFont="1" applyFill="1" applyBorder="1" applyAlignment="1">
      <alignment/>
    </xf>
    <xf numFmtId="10" fontId="0" fillId="3" borderId="46" xfId="0" applyNumberFormat="1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0" fontId="0" fillId="0" borderId="55" xfId="0" applyFont="1" applyBorder="1" applyAlignment="1" applyProtection="1">
      <alignment horizontal="center"/>
      <protection/>
    </xf>
    <xf numFmtId="2" fontId="0" fillId="3" borderId="5" xfId="0" applyNumberFormat="1" applyFont="1" applyFill="1" applyBorder="1" applyAlignment="1">
      <alignment/>
    </xf>
    <xf numFmtId="10" fontId="0" fillId="3" borderId="5" xfId="0" applyNumberFormat="1" applyFont="1" applyFill="1" applyBorder="1" applyAlignment="1">
      <alignment/>
    </xf>
    <xf numFmtId="2" fontId="0" fillId="3" borderId="9" xfId="0" applyNumberFormat="1" applyFont="1" applyFill="1" applyBorder="1" applyAlignment="1">
      <alignment/>
    </xf>
    <xf numFmtId="10" fontId="0" fillId="0" borderId="1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7" xfId="0" applyBorder="1" applyAlignment="1">
      <alignment/>
    </xf>
    <xf numFmtId="0" fontId="0" fillId="0" borderId="40" xfId="0" applyBorder="1" applyAlignment="1">
      <alignment/>
    </xf>
    <xf numFmtId="0" fontId="4" fillId="6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65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/>
    </xf>
    <xf numFmtId="0" fontId="11" fillId="4" borderId="32" xfId="0" applyFont="1" applyFill="1" applyBorder="1" applyAlignment="1">
      <alignment/>
    </xf>
    <xf numFmtId="0" fontId="0" fillId="4" borderId="5" xfId="0" applyFill="1" applyBorder="1" applyAlignment="1">
      <alignment/>
    </xf>
    <xf numFmtId="165" fontId="8" fillId="4" borderId="5" xfId="0" applyNumberFormat="1" applyFont="1" applyFill="1" applyBorder="1" applyAlignment="1">
      <alignment/>
    </xf>
    <xf numFmtId="164" fontId="8" fillId="4" borderId="5" xfId="0" applyNumberFormat="1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5" xfId="0" applyNumberFormat="1" applyFont="1" applyFill="1" applyBorder="1" applyAlignment="1">
      <alignment/>
    </xf>
    <xf numFmtId="0" fontId="4" fillId="4" borderId="1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10" fontId="4" fillId="4" borderId="1" xfId="0" applyNumberFormat="1" applyFont="1" applyFill="1" applyBorder="1" applyAlignment="1">
      <alignment/>
    </xf>
    <xf numFmtId="10" fontId="4" fillId="4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wrapText="1"/>
    </xf>
    <xf numFmtId="10" fontId="0" fillId="3" borderId="5" xfId="0" applyNumberFormat="1" applyFill="1" applyBorder="1" applyAlignment="1">
      <alignment/>
    </xf>
    <xf numFmtId="10" fontId="0" fillId="3" borderId="5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2" fillId="0" borderId="4" xfId="0" applyFont="1" applyBorder="1" applyAlignment="1">
      <alignment wrapText="1"/>
    </xf>
    <xf numFmtId="165" fontId="12" fillId="0" borderId="4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14" xfId="0" applyFont="1" applyBorder="1" applyAlignment="1">
      <alignment horizontal="right" wrapText="1"/>
    </xf>
    <xf numFmtId="0" fontId="10" fillId="0" borderId="14" xfId="0" applyFont="1" applyBorder="1" applyAlignment="1">
      <alignment/>
    </xf>
    <xf numFmtId="165" fontId="4" fillId="0" borderId="46" xfId="0" applyNumberFormat="1" applyFont="1" applyBorder="1" applyAlignment="1">
      <alignment/>
    </xf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0" fontId="12" fillId="0" borderId="9" xfId="0" applyFont="1" applyBorder="1" applyAlignment="1">
      <alignment horizontal="center"/>
    </xf>
    <xf numFmtId="41" fontId="12" fillId="0" borderId="9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 wrapText="1"/>
    </xf>
    <xf numFmtId="41" fontId="12" fillId="0" borderId="1" xfId="0" applyNumberFormat="1" applyFont="1" applyBorder="1" applyAlignment="1">
      <alignment horizontal="center"/>
    </xf>
    <xf numFmtId="41" fontId="10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10" fontId="10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2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wrapText="1"/>
      <protection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/>
    </xf>
    <xf numFmtId="0" fontId="12" fillId="0" borderId="0" xfId="0" applyFont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6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right"/>
    </xf>
    <xf numFmtId="49" fontId="0" fillId="0" borderId="39" xfId="0" applyNumberFormat="1" applyBorder="1" applyAlignment="1">
      <alignment horizontal="left"/>
    </xf>
    <xf numFmtId="49" fontId="0" fillId="0" borderId="67" xfId="0" applyNumberFormat="1" applyBorder="1" applyAlignment="1">
      <alignment horizontal="left"/>
    </xf>
    <xf numFmtId="49" fontId="0" fillId="0" borderId="29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49" fontId="0" fillId="0" borderId="29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right" vertic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15" fillId="2" borderId="69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2" borderId="4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0" fillId="2" borderId="2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2" borderId="6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3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4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7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4" borderId="43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2" borderId="44" xfId="0" applyFont="1" applyFill="1" applyBorder="1" applyAlignment="1">
      <alignment horizontal="center" wrapText="1"/>
    </xf>
    <xf numFmtId="0" fontId="4" fillId="2" borderId="45" xfId="0" applyFont="1" applyFill="1" applyBorder="1" applyAlignment="1">
      <alignment horizont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7" fillId="0" borderId="2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0" xfId="0" applyBorder="1" applyAlignment="1">
      <alignment horizontal="center"/>
    </xf>
    <xf numFmtId="0" fontId="12" fillId="0" borderId="28" xfId="0" applyFont="1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5" fillId="0" borderId="59" xfId="0" applyFont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/>
    </xf>
    <xf numFmtId="0" fontId="4" fillId="5" borderId="7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2" fillId="0" borderId="66" xfId="0" applyFont="1" applyBorder="1" applyAlignment="1">
      <alignment wrapText="1"/>
    </xf>
    <xf numFmtId="0" fontId="9" fillId="0" borderId="36" xfId="0" applyFont="1" applyBorder="1" applyAlignment="1">
      <alignment/>
    </xf>
    <xf numFmtId="0" fontId="9" fillId="0" borderId="70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74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75" xfId="0" applyFont="1" applyBorder="1" applyAlignment="1">
      <alignment/>
    </xf>
    <xf numFmtId="0" fontId="12" fillId="0" borderId="30" xfId="0" applyFont="1" applyBorder="1" applyAlignment="1">
      <alignment wrapText="1"/>
    </xf>
    <xf numFmtId="0" fontId="12" fillId="0" borderId="28" xfId="0" applyFont="1" applyBorder="1" applyAlignment="1">
      <alignment horizontal="center"/>
    </xf>
    <xf numFmtId="0" fontId="12" fillId="0" borderId="74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7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7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10" fontId="7" fillId="0" borderId="24" xfId="0" applyNumberFormat="1" applyFont="1" applyBorder="1" applyAlignment="1">
      <alignment/>
    </xf>
    <xf numFmtId="10" fontId="7" fillId="0" borderId="76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51" xfId="0" applyFont="1" applyBorder="1" applyAlignment="1">
      <alignment wrapText="1"/>
    </xf>
    <xf numFmtId="0" fontId="7" fillId="0" borderId="12" xfId="0" applyNumberFormat="1" applyFont="1" applyBorder="1" applyAlignment="1">
      <alignment/>
    </xf>
    <xf numFmtId="0" fontId="7" fillId="0" borderId="76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43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5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68"/>
  <sheetViews>
    <sheetView view="pageBreakPreview" zoomScaleSheetLayoutView="100" workbookViewId="0" topLeftCell="A206">
      <selection activeCell="S206" sqref="S206"/>
    </sheetView>
  </sheetViews>
  <sheetFormatPr defaultColWidth="9.00390625" defaultRowHeight="12.75"/>
  <cols>
    <col min="1" max="1" width="4.375" style="110" customWidth="1"/>
    <col min="2" max="2" width="28.375" style="0" customWidth="1"/>
    <col min="3" max="3" width="5.00390625" style="0" customWidth="1"/>
    <col min="4" max="4" width="6.25390625" style="0" customWidth="1"/>
    <col min="5" max="5" width="5.1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19" width="10.875" style="0" customWidth="1"/>
    <col min="20" max="20" width="10.625" style="0" customWidth="1"/>
    <col min="21" max="21" width="9.625" style="0" customWidth="1"/>
    <col min="22" max="22" width="9.375" style="0" customWidth="1"/>
    <col min="23" max="23" width="9.75390625" style="0" customWidth="1"/>
  </cols>
  <sheetData>
    <row r="1" ht="12.75" hidden="1"/>
    <row r="2" spans="1:23" s="372" customFormat="1" ht="12.75" customHeight="1">
      <c r="A2" s="408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U2" s="582" t="s">
        <v>545</v>
      </c>
      <c r="V2" s="582"/>
      <c r="W2" s="582"/>
    </row>
    <row r="3" spans="1:23" s="372" customFormat="1" ht="12.75" customHeight="1">
      <c r="A3" s="408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U3" s="582"/>
      <c r="V3" s="582"/>
      <c r="W3" s="582"/>
    </row>
    <row r="4" spans="1:23" s="372" customFormat="1" ht="6.75" customHeight="1">
      <c r="A4" s="408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U4" s="582"/>
      <c r="V4" s="582"/>
      <c r="W4" s="582"/>
    </row>
    <row r="5" s="372" customFormat="1" ht="21.75" customHeight="1" hidden="1">
      <c r="A5" s="408"/>
    </row>
    <row r="6" spans="1:23" s="372" customFormat="1" ht="1.5" customHeight="1" hidden="1">
      <c r="A6" s="580" t="s">
        <v>996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</row>
    <row r="7" spans="1:23" s="372" customFormat="1" ht="9.75" customHeight="1" hidden="1">
      <c r="A7" s="580"/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</row>
    <row r="8" spans="1:23" s="372" customFormat="1" ht="0.75" customHeight="1" hidden="1">
      <c r="A8" s="580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</row>
    <row r="9" spans="1:23" s="372" customFormat="1" ht="9.75" customHeight="1" hidden="1">
      <c r="A9" s="580"/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</row>
    <row r="10" spans="1:23" s="372" customFormat="1" ht="24" customHeight="1">
      <c r="A10" s="580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</row>
    <row r="11" spans="1:23" s="372" customFormat="1" ht="8.25" customHeight="1">
      <c r="A11" s="568"/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</row>
    <row r="12" spans="1:23" s="372" customFormat="1" ht="13.5" customHeight="1">
      <c r="A12" s="616" t="s">
        <v>891</v>
      </c>
      <c r="B12" s="595" t="s">
        <v>444</v>
      </c>
      <c r="C12" s="621" t="s">
        <v>805</v>
      </c>
      <c r="D12" s="622"/>
      <c r="E12" s="623"/>
      <c r="F12" s="374"/>
      <c r="G12" s="374"/>
      <c r="H12" s="374"/>
      <c r="I12" s="374"/>
      <c r="J12" s="373"/>
      <c r="K12" s="375"/>
      <c r="L12" s="375"/>
      <c r="M12" s="595" t="s">
        <v>894</v>
      </c>
      <c r="N12" s="619" t="s">
        <v>248</v>
      </c>
      <c r="O12" s="620"/>
      <c r="P12" s="606" t="s">
        <v>305</v>
      </c>
      <c r="Q12" s="598" t="s">
        <v>435</v>
      </c>
      <c r="R12" s="598" t="s">
        <v>436</v>
      </c>
      <c r="S12" s="598" t="s">
        <v>994</v>
      </c>
      <c r="T12" s="606" t="s">
        <v>915</v>
      </c>
      <c r="U12" s="598" t="s">
        <v>86</v>
      </c>
      <c r="V12" s="583" t="s">
        <v>87</v>
      </c>
      <c r="W12" s="584"/>
    </row>
    <row r="13" spans="1:23" s="372" customFormat="1" ht="18.75" customHeight="1">
      <c r="A13" s="617"/>
      <c r="B13" s="596"/>
      <c r="C13" s="624"/>
      <c r="D13" s="625"/>
      <c r="E13" s="591"/>
      <c r="F13" s="608" t="s">
        <v>75</v>
      </c>
      <c r="G13" s="606" t="s">
        <v>449</v>
      </c>
      <c r="H13" s="606" t="s">
        <v>76</v>
      </c>
      <c r="I13" s="377" t="s">
        <v>77</v>
      </c>
      <c r="J13" s="373"/>
      <c r="K13" s="606" t="s">
        <v>78</v>
      </c>
      <c r="L13" s="606" t="s">
        <v>79</v>
      </c>
      <c r="M13" s="596"/>
      <c r="N13" s="606" t="s">
        <v>246</v>
      </c>
      <c r="O13" s="606" t="s">
        <v>247</v>
      </c>
      <c r="P13" s="611"/>
      <c r="Q13" s="599"/>
      <c r="R13" s="599"/>
      <c r="S13" s="599"/>
      <c r="T13" s="611"/>
      <c r="U13" s="599"/>
      <c r="V13" s="576"/>
      <c r="W13" s="577"/>
    </row>
    <row r="14" spans="1:23" s="372" customFormat="1" ht="7.5" customHeight="1">
      <c r="A14" s="617"/>
      <c r="B14" s="597"/>
      <c r="C14" s="592"/>
      <c r="D14" s="593"/>
      <c r="E14" s="594"/>
      <c r="F14" s="609"/>
      <c r="G14" s="611"/>
      <c r="H14" s="611"/>
      <c r="I14" s="606" t="s">
        <v>80</v>
      </c>
      <c r="J14" s="378"/>
      <c r="K14" s="611"/>
      <c r="L14" s="611"/>
      <c r="M14" s="596"/>
      <c r="N14" s="611"/>
      <c r="O14" s="611"/>
      <c r="P14" s="611"/>
      <c r="Q14" s="599"/>
      <c r="R14" s="599"/>
      <c r="S14" s="599"/>
      <c r="T14" s="611"/>
      <c r="U14" s="599"/>
      <c r="V14" s="578"/>
      <c r="W14" s="579"/>
    </row>
    <row r="15" spans="1:23" s="372" customFormat="1" ht="19.5" customHeight="1" thickBot="1">
      <c r="A15" s="618"/>
      <c r="B15" s="373" t="s">
        <v>81</v>
      </c>
      <c r="C15" s="373" t="s">
        <v>82</v>
      </c>
      <c r="D15" s="379" t="s">
        <v>811</v>
      </c>
      <c r="E15" s="373" t="s">
        <v>446</v>
      </c>
      <c r="F15" s="610"/>
      <c r="G15" s="607"/>
      <c r="H15" s="607"/>
      <c r="I15" s="607"/>
      <c r="J15" s="380"/>
      <c r="K15" s="607"/>
      <c r="L15" s="607"/>
      <c r="M15" s="597"/>
      <c r="N15" s="607"/>
      <c r="O15" s="607"/>
      <c r="P15" s="607"/>
      <c r="Q15" s="600"/>
      <c r="R15" s="600"/>
      <c r="S15" s="600"/>
      <c r="T15" s="607"/>
      <c r="U15" s="600"/>
      <c r="V15" s="376" t="s">
        <v>463</v>
      </c>
      <c r="W15" s="381" t="s">
        <v>1001</v>
      </c>
    </row>
    <row r="16" spans="1:23" s="385" customFormat="1" ht="13.5" thickBot="1">
      <c r="A16" s="409">
        <v>1</v>
      </c>
      <c r="B16" s="382">
        <v>2</v>
      </c>
      <c r="C16" s="382">
        <v>3</v>
      </c>
      <c r="D16" s="382">
        <v>4</v>
      </c>
      <c r="E16" s="382">
        <v>5</v>
      </c>
      <c r="F16" s="382">
        <v>6</v>
      </c>
      <c r="G16" s="382">
        <v>6</v>
      </c>
      <c r="H16" s="382">
        <v>8</v>
      </c>
      <c r="I16" s="382">
        <v>9</v>
      </c>
      <c r="J16" s="383"/>
      <c r="K16" s="382">
        <v>7</v>
      </c>
      <c r="L16" s="382">
        <v>8</v>
      </c>
      <c r="M16" s="382">
        <v>6</v>
      </c>
      <c r="N16" s="382">
        <v>7</v>
      </c>
      <c r="O16" s="382">
        <v>8</v>
      </c>
      <c r="P16" s="382">
        <v>6</v>
      </c>
      <c r="Q16" s="382">
        <v>7</v>
      </c>
      <c r="R16" s="382">
        <v>8</v>
      </c>
      <c r="S16" s="384">
        <v>6</v>
      </c>
      <c r="T16" s="382">
        <v>7</v>
      </c>
      <c r="U16" s="504">
        <v>8</v>
      </c>
      <c r="V16" s="504">
        <v>9</v>
      </c>
      <c r="W16" s="504">
        <v>10</v>
      </c>
    </row>
    <row r="17" spans="1:23" s="40" customFormat="1" ht="19.5" customHeight="1">
      <c r="A17" s="333" t="s">
        <v>895</v>
      </c>
      <c r="B17" s="334" t="s">
        <v>83</v>
      </c>
      <c r="C17" s="335"/>
      <c r="D17" s="335"/>
      <c r="E17" s="335"/>
      <c r="F17" s="336" t="e">
        <f>F18+F23+F34+F41+F51+F56+F60+F66+F89+F98+F141+F154</f>
        <v>#REF!</v>
      </c>
      <c r="G17" s="337" t="e">
        <f>G18+G23+G34+G41+G51+G56+G60+G66+G89+G98+G141+G158</f>
        <v>#REF!</v>
      </c>
      <c r="H17" s="338" t="e">
        <f aca="true" t="shared" si="0" ref="H17:H109">IF(F17&gt;0,G17/F17*100,"")</f>
        <v>#REF!</v>
      </c>
      <c r="I17" s="339" t="e">
        <f>F17/F256</f>
        <v>#REF!</v>
      </c>
      <c r="J17" s="340"/>
      <c r="K17" s="334" t="e">
        <f>K18+K23+K34+K41+K51+K56+K60+K66+K89+K98+K141+K158</f>
        <v>#REF!</v>
      </c>
      <c r="L17" s="334" t="e">
        <f>L18+L23+L34+L41+L51+L56+L60+L66+L89+L98+L141+L158</f>
        <v>#REF!</v>
      </c>
      <c r="M17" s="334" t="e">
        <f>M18+M23+M34+M41+M51+M56+M60+M66+M89+M98+M141+M158</f>
        <v>#REF!</v>
      </c>
      <c r="N17" s="334" t="e">
        <f>N18+N23+N34+N41+N51+N56+N60+N66+N89+N98+N141+N158</f>
        <v>#REF!</v>
      </c>
      <c r="O17" s="334" t="e">
        <f>O18+O23+O34+O41+O51+O56+O60+O66+O89+O98+O141+O158</f>
        <v>#REF!</v>
      </c>
      <c r="P17" s="341" t="e">
        <f>P18+P23+P34+P41+P51+P56+P60+P66+P89+P98+P141+P158+P94</f>
        <v>#REF!</v>
      </c>
      <c r="Q17" s="341" t="e">
        <f>Q18+Q23+Q34+Q41+Q51+Q56+Q60+Q66+Q98+Q141+Q94</f>
        <v>#REF!</v>
      </c>
      <c r="R17" s="341" t="e">
        <f>R18+R23+R34+R41+R51+R56+R60+R66+R89+R98+R141+R158+R94</f>
        <v>#REF!</v>
      </c>
      <c r="S17" s="341">
        <f>S18+S23+S34+S41+S51+S56+S60+S66+S94+S98+S133+S141</f>
        <v>4660763</v>
      </c>
      <c r="T17" s="341">
        <f>T18+T23+T34+T41+T51+T56+T60+T66+T94+T98+T133+T141</f>
        <v>5530837</v>
      </c>
      <c r="U17" s="505">
        <f>T17/S17*100</f>
        <v>118.66805928557191</v>
      </c>
      <c r="V17" s="506">
        <f aca="true" t="shared" si="1" ref="V17:V24">S17/$S$256</f>
        <v>0.1334536338285886</v>
      </c>
      <c r="W17" s="506">
        <f aca="true" t="shared" si="2" ref="W17:W24">T17/$T$256</f>
        <v>0.16864881878008575</v>
      </c>
    </row>
    <row r="18" spans="1:23" ht="18" customHeight="1">
      <c r="A18" s="51" t="s">
        <v>903</v>
      </c>
      <c r="B18" s="117" t="s">
        <v>84</v>
      </c>
      <c r="C18" s="303" t="s">
        <v>456</v>
      </c>
      <c r="D18" s="114"/>
      <c r="E18" s="114"/>
      <c r="F18" s="67">
        <f>F19+F21</f>
        <v>1390</v>
      </c>
      <c r="G18" s="118">
        <f>G19+G21</f>
        <v>950</v>
      </c>
      <c r="H18" s="157">
        <f t="shared" si="0"/>
        <v>68.34532374100719</v>
      </c>
      <c r="I18" s="305" t="e">
        <f>F18/F256</f>
        <v>#REF!</v>
      </c>
      <c r="J18" s="37"/>
      <c r="K18" s="50">
        <f aca="true" t="shared" si="3" ref="K18:P18">K19+K21</f>
        <v>0</v>
      </c>
      <c r="L18" s="50">
        <f t="shared" si="3"/>
        <v>0</v>
      </c>
      <c r="M18" s="50">
        <f t="shared" si="3"/>
        <v>520</v>
      </c>
      <c r="N18" s="50">
        <f t="shared" si="3"/>
        <v>0</v>
      </c>
      <c r="O18" s="50">
        <f t="shared" si="3"/>
        <v>0</v>
      </c>
      <c r="P18" s="306">
        <f t="shared" si="3"/>
        <v>700</v>
      </c>
      <c r="Q18" s="306">
        <f>Q19+Q21</f>
        <v>0</v>
      </c>
      <c r="R18" s="306">
        <f>R19+R21</f>
        <v>0</v>
      </c>
      <c r="S18" s="306">
        <f>S21</f>
        <v>200</v>
      </c>
      <c r="T18" s="306">
        <f>T21</f>
        <v>400</v>
      </c>
      <c r="U18" s="509">
        <f aca="true" t="shared" si="4" ref="U18:U34">T18/S18*100</f>
        <v>200</v>
      </c>
      <c r="V18" s="435">
        <f t="shared" si="1"/>
        <v>5.7266861167833934E-06</v>
      </c>
      <c r="W18" s="435">
        <f t="shared" si="2"/>
        <v>1.2196983478637014E-05</v>
      </c>
    </row>
    <row r="19" spans="1:23" ht="18" customHeight="1" hidden="1">
      <c r="A19" s="19" t="s">
        <v>85</v>
      </c>
      <c r="B19" s="50" t="s">
        <v>460</v>
      </c>
      <c r="C19" s="27"/>
      <c r="D19" s="27" t="s">
        <v>459</v>
      </c>
      <c r="E19" s="27"/>
      <c r="F19" s="9">
        <f>F20</f>
        <v>990</v>
      </c>
      <c r="G19" s="118">
        <f>G20</f>
        <v>550</v>
      </c>
      <c r="H19" s="115">
        <f t="shared" si="0"/>
        <v>55.55555555555556</v>
      </c>
      <c r="I19" s="10" t="e">
        <f>F19/F256</f>
        <v>#REF!</v>
      </c>
      <c r="J19" s="37"/>
      <c r="K19" s="7">
        <f aca="true" t="shared" si="5" ref="K19:T19">K20</f>
        <v>0</v>
      </c>
      <c r="L19" s="7">
        <f t="shared" si="5"/>
        <v>0</v>
      </c>
      <c r="M19" s="7">
        <f t="shared" si="5"/>
        <v>220</v>
      </c>
      <c r="N19" s="7">
        <f t="shared" si="5"/>
        <v>0</v>
      </c>
      <c r="O19" s="7">
        <f t="shared" si="5"/>
        <v>0</v>
      </c>
      <c r="P19" s="271">
        <f t="shared" si="5"/>
        <v>100</v>
      </c>
      <c r="Q19" s="271">
        <f t="shared" si="5"/>
        <v>0</v>
      </c>
      <c r="R19" s="271">
        <f t="shared" si="5"/>
        <v>0</v>
      </c>
      <c r="S19" s="271">
        <f t="shared" si="5"/>
        <v>0</v>
      </c>
      <c r="T19" s="271">
        <f t="shared" si="5"/>
        <v>0</v>
      </c>
      <c r="U19" s="509" t="e">
        <f t="shared" si="4"/>
        <v>#DIV/0!</v>
      </c>
      <c r="V19" s="133">
        <f t="shared" si="1"/>
        <v>0</v>
      </c>
      <c r="W19" s="133">
        <f t="shared" si="2"/>
        <v>0</v>
      </c>
    </row>
    <row r="20" spans="1:23" ht="15" customHeight="1" hidden="1">
      <c r="A20" s="21"/>
      <c r="B20" s="119" t="s">
        <v>94</v>
      </c>
      <c r="C20" s="18"/>
      <c r="D20" s="18"/>
      <c r="E20" s="18" t="s">
        <v>306</v>
      </c>
      <c r="F20" s="5">
        <v>990</v>
      </c>
      <c r="G20" s="120">
        <v>550</v>
      </c>
      <c r="H20" s="121">
        <f t="shared" si="0"/>
        <v>55.55555555555556</v>
      </c>
      <c r="I20" s="6" t="e">
        <f>F20/F256</f>
        <v>#REF!</v>
      </c>
      <c r="K20" s="8">
        <v>0</v>
      </c>
      <c r="L20" s="8">
        <v>0</v>
      </c>
      <c r="M20" s="8">
        <v>220</v>
      </c>
      <c r="N20" s="8">
        <v>0</v>
      </c>
      <c r="O20" s="8">
        <v>0</v>
      </c>
      <c r="P20" s="212">
        <v>100</v>
      </c>
      <c r="Q20" s="212">
        <v>0</v>
      </c>
      <c r="R20" s="212">
        <v>0</v>
      </c>
      <c r="S20" s="212">
        <v>0</v>
      </c>
      <c r="T20" s="8">
        <v>0</v>
      </c>
      <c r="U20" s="509" t="e">
        <f t="shared" si="4"/>
        <v>#DIV/0!</v>
      </c>
      <c r="V20" s="133">
        <f t="shared" si="1"/>
        <v>0</v>
      </c>
      <c r="W20" s="133">
        <f t="shared" si="2"/>
        <v>0</v>
      </c>
    </row>
    <row r="21" spans="1:23" ht="17.25" customHeight="1">
      <c r="A21" s="19" t="s">
        <v>85</v>
      </c>
      <c r="B21" s="4" t="s">
        <v>556</v>
      </c>
      <c r="C21" s="27"/>
      <c r="D21" s="27" t="s">
        <v>97</v>
      </c>
      <c r="E21" s="27"/>
      <c r="F21" s="9">
        <f>F22</f>
        <v>400</v>
      </c>
      <c r="G21" s="122">
        <f>G22</f>
        <v>400</v>
      </c>
      <c r="H21" s="115">
        <f t="shared" si="0"/>
        <v>100</v>
      </c>
      <c r="I21" s="10" t="e">
        <f>F21/F256</f>
        <v>#REF!</v>
      </c>
      <c r="J21" s="37"/>
      <c r="K21" s="7">
        <f aca="true" t="shared" si="6" ref="K21:T21">K22</f>
        <v>0</v>
      </c>
      <c r="L21" s="7">
        <f t="shared" si="6"/>
        <v>0</v>
      </c>
      <c r="M21" s="7">
        <f t="shared" si="6"/>
        <v>300</v>
      </c>
      <c r="N21" s="7">
        <f t="shared" si="6"/>
        <v>0</v>
      </c>
      <c r="O21" s="7">
        <f t="shared" si="6"/>
        <v>0</v>
      </c>
      <c r="P21" s="271">
        <f t="shared" si="6"/>
        <v>600</v>
      </c>
      <c r="Q21" s="271">
        <f t="shared" si="6"/>
        <v>0</v>
      </c>
      <c r="R21" s="271">
        <f t="shared" si="6"/>
        <v>0</v>
      </c>
      <c r="S21" s="271">
        <f>S22</f>
        <v>200</v>
      </c>
      <c r="T21" s="271">
        <f t="shared" si="6"/>
        <v>400</v>
      </c>
      <c r="U21" s="509">
        <f t="shared" si="4"/>
        <v>200</v>
      </c>
      <c r="V21" s="133">
        <f t="shared" si="1"/>
        <v>5.7266861167833934E-06</v>
      </c>
      <c r="W21" s="133">
        <f t="shared" si="2"/>
        <v>1.2196983478637014E-05</v>
      </c>
    </row>
    <row r="22" spans="1:23" ht="16.5" customHeight="1">
      <c r="A22" s="24"/>
      <c r="B22" s="8" t="s">
        <v>98</v>
      </c>
      <c r="C22" s="18"/>
      <c r="D22" s="18"/>
      <c r="E22" s="18" t="s">
        <v>307</v>
      </c>
      <c r="F22" s="5">
        <v>400</v>
      </c>
      <c r="G22" s="123">
        <v>400</v>
      </c>
      <c r="H22" s="121">
        <f t="shared" si="0"/>
        <v>100</v>
      </c>
      <c r="I22" s="6" t="e">
        <f>F22/F256</f>
        <v>#REF!</v>
      </c>
      <c r="K22" s="8">
        <v>0</v>
      </c>
      <c r="L22" s="8">
        <v>0</v>
      </c>
      <c r="M22" s="8">
        <v>300</v>
      </c>
      <c r="N22" s="8">
        <v>0</v>
      </c>
      <c r="O22" s="8">
        <v>0</v>
      </c>
      <c r="P22" s="212">
        <v>600</v>
      </c>
      <c r="Q22" s="212">
        <v>0</v>
      </c>
      <c r="R22" s="212">
        <v>0</v>
      </c>
      <c r="S22" s="212">
        <v>200</v>
      </c>
      <c r="T22" s="8">
        <v>400</v>
      </c>
      <c r="U22" s="509">
        <f t="shared" si="4"/>
        <v>200</v>
      </c>
      <c r="V22" s="133">
        <f t="shared" si="1"/>
        <v>5.7266861167833934E-06</v>
      </c>
      <c r="W22" s="133">
        <f t="shared" si="2"/>
        <v>1.2196983478637014E-05</v>
      </c>
    </row>
    <row r="23" spans="1:23" ht="18" customHeight="1">
      <c r="A23" s="19" t="s">
        <v>904</v>
      </c>
      <c r="B23" s="7" t="s">
        <v>100</v>
      </c>
      <c r="C23" s="27" t="s">
        <v>504</v>
      </c>
      <c r="D23" s="27"/>
      <c r="E23" s="27"/>
      <c r="F23" s="9">
        <f>F24</f>
        <v>42000</v>
      </c>
      <c r="G23" s="122">
        <f>G24</f>
        <v>32000</v>
      </c>
      <c r="H23" s="115">
        <f t="shared" si="0"/>
        <v>76.19047619047619</v>
      </c>
      <c r="I23" s="10" t="e">
        <f>F23/F256</f>
        <v>#REF!</v>
      </c>
      <c r="J23" s="37"/>
      <c r="K23" s="7">
        <f aca="true" t="shared" si="7" ref="K23:T23">K24</f>
        <v>0</v>
      </c>
      <c r="L23" s="7">
        <f t="shared" si="7"/>
        <v>0</v>
      </c>
      <c r="M23" s="7">
        <f t="shared" si="7"/>
        <v>17000</v>
      </c>
      <c r="N23" s="7">
        <f t="shared" si="7"/>
        <v>0</v>
      </c>
      <c r="O23" s="7">
        <f t="shared" si="7"/>
        <v>0</v>
      </c>
      <c r="P23" s="271">
        <f t="shared" si="7"/>
        <v>5000</v>
      </c>
      <c r="Q23" s="271">
        <f t="shared" si="7"/>
        <v>0</v>
      </c>
      <c r="R23" s="271">
        <f t="shared" si="7"/>
        <v>0</v>
      </c>
      <c r="S23" s="271">
        <f>S25+S26+S27+S28+S29+S30+S33</f>
        <v>29957</v>
      </c>
      <c r="T23" s="271">
        <f t="shared" si="7"/>
        <v>2700</v>
      </c>
      <c r="U23" s="509">
        <f t="shared" si="4"/>
        <v>9.012918516540374</v>
      </c>
      <c r="V23" s="133">
        <f t="shared" si="1"/>
        <v>0.0008577716800024006</v>
      </c>
      <c r="W23" s="133">
        <f t="shared" si="2"/>
        <v>8.232963848079985E-05</v>
      </c>
    </row>
    <row r="24" spans="1:23" ht="18.75" customHeight="1">
      <c r="A24" s="19" t="s">
        <v>85</v>
      </c>
      <c r="B24" s="7" t="s">
        <v>101</v>
      </c>
      <c r="C24" s="27"/>
      <c r="D24" s="27" t="s">
        <v>506</v>
      </c>
      <c r="E24" s="27"/>
      <c r="F24" s="9">
        <f>F27+F30+F31</f>
        <v>42000</v>
      </c>
      <c r="G24" s="122">
        <f>G27+G30+G31+G32</f>
        <v>32000</v>
      </c>
      <c r="H24" s="115">
        <f t="shared" si="0"/>
        <v>76.19047619047619</v>
      </c>
      <c r="I24" s="10" t="e">
        <f>F24/F256</f>
        <v>#REF!</v>
      </c>
      <c r="J24" s="37"/>
      <c r="K24" s="7">
        <f>K27+K30+K31+K32</f>
        <v>0</v>
      </c>
      <c r="L24" s="7">
        <f>L27+L30+L31+L32</f>
        <v>0</v>
      </c>
      <c r="M24" s="7">
        <f>M27+M30+M31+M32</f>
        <v>17000</v>
      </c>
      <c r="N24" s="7">
        <f>N27+N30+N31+N32</f>
        <v>0</v>
      </c>
      <c r="O24" s="7">
        <f>O27+O30+O31+O32</f>
        <v>0</v>
      </c>
      <c r="P24" s="271">
        <f>P27+P30+P31+P32+P26</f>
        <v>5000</v>
      </c>
      <c r="Q24" s="271">
        <f>Q27+Q30+Q31+Q32+Q26</f>
        <v>0</v>
      </c>
      <c r="R24" s="271">
        <f>R27+R30+R31+R32+R26</f>
        <v>0</v>
      </c>
      <c r="S24" s="271">
        <f>S23</f>
        <v>29957</v>
      </c>
      <c r="T24" s="271">
        <f>T26+T27+T30</f>
        <v>2700</v>
      </c>
      <c r="U24" s="509">
        <f t="shared" si="4"/>
        <v>9.012918516540374</v>
      </c>
      <c r="V24" s="133">
        <f t="shared" si="1"/>
        <v>0.0008577716800024006</v>
      </c>
      <c r="W24" s="133">
        <f t="shared" si="2"/>
        <v>8.232963848079985E-05</v>
      </c>
    </row>
    <row r="25" spans="1:23" ht="24.75" customHeight="1">
      <c r="A25" s="24"/>
      <c r="B25" s="11" t="s">
        <v>912</v>
      </c>
      <c r="C25" s="27"/>
      <c r="D25" s="27"/>
      <c r="E25" s="31" t="s">
        <v>911</v>
      </c>
      <c r="F25" s="9"/>
      <c r="G25" s="122"/>
      <c r="H25" s="115"/>
      <c r="I25" s="10"/>
      <c r="J25" s="37"/>
      <c r="K25" s="7"/>
      <c r="L25" s="7"/>
      <c r="M25" s="7"/>
      <c r="N25" s="7"/>
      <c r="O25" s="7"/>
      <c r="P25" s="271"/>
      <c r="Q25" s="271"/>
      <c r="R25" s="271"/>
      <c r="S25" s="280">
        <v>1050</v>
      </c>
      <c r="T25" s="271">
        <v>0</v>
      </c>
      <c r="U25" s="509">
        <f t="shared" si="4"/>
        <v>0</v>
      </c>
      <c r="V25" s="133"/>
      <c r="W25" s="133"/>
    </row>
    <row r="26" spans="1:23" ht="16.5" customHeight="1">
      <c r="A26" s="24"/>
      <c r="B26" s="8" t="s">
        <v>98</v>
      </c>
      <c r="C26" s="27"/>
      <c r="D26" s="27"/>
      <c r="E26" s="31" t="s">
        <v>307</v>
      </c>
      <c r="F26" s="107"/>
      <c r="G26" s="131"/>
      <c r="H26" s="132"/>
      <c r="I26" s="133"/>
      <c r="J26" s="113"/>
      <c r="K26" s="20"/>
      <c r="L26" s="20"/>
      <c r="M26" s="20"/>
      <c r="N26" s="20"/>
      <c r="O26" s="20"/>
      <c r="P26" s="280">
        <v>200</v>
      </c>
      <c r="Q26" s="280">
        <v>0</v>
      </c>
      <c r="R26" s="280">
        <v>0</v>
      </c>
      <c r="S26" s="280">
        <v>400</v>
      </c>
      <c r="T26" s="8">
        <v>0</v>
      </c>
      <c r="U26" s="509">
        <f t="shared" si="4"/>
        <v>0</v>
      </c>
      <c r="V26" s="133">
        <f aca="true" t="shared" si="8" ref="V26:V32">S26/$S$256</f>
        <v>1.1453372233566787E-05</v>
      </c>
      <c r="W26" s="133">
        <f>T26/$T$256</f>
        <v>0</v>
      </c>
    </row>
    <row r="27" spans="1:23" ht="24" customHeight="1">
      <c r="A27" s="24"/>
      <c r="B27" s="11" t="s">
        <v>102</v>
      </c>
      <c r="C27" s="18"/>
      <c r="D27" s="18"/>
      <c r="E27" s="18" t="s">
        <v>308</v>
      </c>
      <c r="F27" s="5">
        <v>17000</v>
      </c>
      <c r="G27" s="123">
        <v>18200</v>
      </c>
      <c r="H27" s="121">
        <f t="shared" si="0"/>
        <v>107.05882352941177</v>
      </c>
      <c r="I27" s="6" t="e">
        <f>F27/F256</f>
        <v>#REF!</v>
      </c>
      <c r="K27" s="8">
        <v>0</v>
      </c>
      <c r="L27" s="8">
        <v>0</v>
      </c>
      <c r="M27" s="8">
        <v>1747</v>
      </c>
      <c r="N27" s="8">
        <v>0</v>
      </c>
      <c r="O27" s="8">
        <v>0</v>
      </c>
      <c r="P27" s="212">
        <v>2617</v>
      </c>
      <c r="Q27" s="212">
        <v>0</v>
      </c>
      <c r="R27" s="212">
        <v>0</v>
      </c>
      <c r="S27" s="212">
        <v>2700</v>
      </c>
      <c r="T27" s="8">
        <v>2700</v>
      </c>
      <c r="U27" s="509">
        <f t="shared" si="4"/>
        <v>100</v>
      </c>
      <c r="V27" s="133">
        <f t="shared" si="8"/>
        <v>7.731026257657582E-05</v>
      </c>
      <c r="W27" s="133">
        <f>T27/$T$256</f>
        <v>8.232963848079985E-05</v>
      </c>
    </row>
    <row r="28" spans="1:23" ht="16.5" customHeight="1">
      <c r="A28" s="24"/>
      <c r="B28" s="11" t="s">
        <v>104</v>
      </c>
      <c r="C28" s="18"/>
      <c r="D28" s="18"/>
      <c r="E28" s="18" t="s">
        <v>309</v>
      </c>
      <c r="F28" s="5"/>
      <c r="G28" s="123"/>
      <c r="H28" s="121"/>
      <c r="I28" s="6"/>
      <c r="K28" s="8"/>
      <c r="L28" s="8"/>
      <c r="M28" s="8"/>
      <c r="N28" s="8"/>
      <c r="O28" s="8"/>
      <c r="P28" s="212"/>
      <c r="Q28" s="212"/>
      <c r="R28" s="212"/>
      <c r="S28" s="212">
        <v>10953</v>
      </c>
      <c r="T28" s="8">
        <v>0</v>
      </c>
      <c r="U28" s="509">
        <f t="shared" si="4"/>
        <v>0</v>
      </c>
      <c r="V28" s="133">
        <f t="shared" si="8"/>
        <v>0.00031362196518564255</v>
      </c>
      <c r="W28" s="133"/>
    </row>
    <row r="29" spans="1:23" ht="17.25" customHeight="1">
      <c r="A29" s="24"/>
      <c r="B29" s="11" t="s">
        <v>94</v>
      </c>
      <c r="C29" s="18"/>
      <c r="D29" s="18"/>
      <c r="E29" s="18" t="s">
        <v>306</v>
      </c>
      <c r="F29" s="5"/>
      <c r="G29" s="123"/>
      <c r="H29" s="121"/>
      <c r="I29" s="6"/>
      <c r="K29" s="8"/>
      <c r="L29" s="8"/>
      <c r="M29" s="8"/>
      <c r="N29" s="8"/>
      <c r="O29" s="8"/>
      <c r="P29" s="212"/>
      <c r="Q29" s="212"/>
      <c r="R29" s="212"/>
      <c r="S29" s="212">
        <v>100</v>
      </c>
      <c r="T29" s="8">
        <v>0</v>
      </c>
      <c r="U29" s="509">
        <f t="shared" si="4"/>
        <v>0</v>
      </c>
      <c r="V29" s="133">
        <f t="shared" si="8"/>
        <v>2.8633430583916967E-06</v>
      </c>
      <c r="W29" s="133"/>
    </row>
    <row r="30" spans="1:23" ht="18" customHeight="1">
      <c r="A30" s="24"/>
      <c r="B30" s="8" t="s">
        <v>127</v>
      </c>
      <c r="C30" s="18"/>
      <c r="D30" s="18"/>
      <c r="E30" s="18" t="s">
        <v>310</v>
      </c>
      <c r="F30" s="5">
        <v>18000</v>
      </c>
      <c r="G30" s="123">
        <v>9400</v>
      </c>
      <c r="H30" s="121">
        <f t="shared" si="0"/>
        <v>52.22222222222223</v>
      </c>
      <c r="I30" s="6" t="e">
        <f>F30/F256</f>
        <v>#REF!</v>
      </c>
      <c r="K30" s="8">
        <v>0</v>
      </c>
      <c r="L30" s="8">
        <v>0</v>
      </c>
      <c r="M30" s="8">
        <v>7749</v>
      </c>
      <c r="N30" s="8">
        <v>0</v>
      </c>
      <c r="O30" s="8">
        <v>0</v>
      </c>
      <c r="P30" s="212">
        <v>1700</v>
      </c>
      <c r="Q30" s="212">
        <v>0</v>
      </c>
      <c r="R30" s="212">
        <v>0</v>
      </c>
      <c r="S30" s="212">
        <v>435</v>
      </c>
      <c r="T30" s="8">
        <v>0</v>
      </c>
      <c r="U30" s="509">
        <f t="shared" si="4"/>
        <v>0</v>
      </c>
      <c r="V30" s="133">
        <f t="shared" si="8"/>
        <v>1.2455542304003882E-05</v>
      </c>
      <c r="W30" s="133">
        <f>T30/$T$256</f>
        <v>0</v>
      </c>
    </row>
    <row r="31" spans="1:23" ht="0.75" customHeight="1" hidden="1">
      <c r="A31" s="24"/>
      <c r="B31" s="11" t="s">
        <v>94</v>
      </c>
      <c r="C31" s="18"/>
      <c r="D31" s="18"/>
      <c r="E31" s="18" t="s">
        <v>306</v>
      </c>
      <c r="F31" s="5">
        <v>7000</v>
      </c>
      <c r="G31" s="123">
        <v>4400</v>
      </c>
      <c r="H31" s="121">
        <f t="shared" si="0"/>
        <v>62.857142857142854</v>
      </c>
      <c r="I31" s="6" t="e">
        <f>F31/F256</f>
        <v>#REF!</v>
      </c>
      <c r="K31" s="8">
        <v>0</v>
      </c>
      <c r="L31" s="8">
        <v>0</v>
      </c>
      <c r="M31" s="8">
        <v>200</v>
      </c>
      <c r="N31" s="8">
        <v>0</v>
      </c>
      <c r="O31" s="8">
        <v>0</v>
      </c>
      <c r="P31" s="212">
        <v>483</v>
      </c>
      <c r="Q31" s="212">
        <v>0</v>
      </c>
      <c r="R31" s="212">
        <v>0</v>
      </c>
      <c r="S31" s="212">
        <v>0</v>
      </c>
      <c r="T31" s="8">
        <v>0</v>
      </c>
      <c r="U31" s="509" t="e">
        <f t="shared" si="4"/>
        <v>#DIV/0!</v>
      </c>
      <c r="V31" s="133">
        <f t="shared" si="8"/>
        <v>0</v>
      </c>
      <c r="W31" s="133">
        <f>T31/$T$256</f>
        <v>0</v>
      </c>
    </row>
    <row r="32" spans="1:23" ht="12.75" customHeight="1" hidden="1">
      <c r="A32" s="24"/>
      <c r="B32" s="11" t="s">
        <v>106</v>
      </c>
      <c r="C32" s="18"/>
      <c r="D32" s="18"/>
      <c r="E32" s="18" t="s">
        <v>107</v>
      </c>
      <c r="F32" s="5"/>
      <c r="G32" s="123">
        <v>0</v>
      </c>
      <c r="H32" s="121"/>
      <c r="I32" s="6"/>
      <c r="K32" s="8">
        <v>0</v>
      </c>
      <c r="L32" s="8">
        <v>0</v>
      </c>
      <c r="M32" s="8">
        <v>7304</v>
      </c>
      <c r="N32" s="8">
        <v>0</v>
      </c>
      <c r="O32" s="8">
        <v>0</v>
      </c>
      <c r="P32" s="212">
        <v>0</v>
      </c>
      <c r="Q32" s="212">
        <v>0</v>
      </c>
      <c r="R32" s="212">
        <v>0</v>
      </c>
      <c r="S32" s="212"/>
      <c r="T32" s="8"/>
      <c r="U32" s="509" t="e">
        <f t="shared" si="4"/>
        <v>#DIV/0!</v>
      </c>
      <c r="V32" s="133">
        <f t="shared" si="8"/>
        <v>0</v>
      </c>
      <c r="W32" s="133">
        <f>T32/$T$256</f>
        <v>0</v>
      </c>
    </row>
    <row r="33" spans="1:23" ht="26.25" customHeight="1">
      <c r="A33" s="24"/>
      <c r="B33" s="11" t="s">
        <v>913</v>
      </c>
      <c r="C33" s="18"/>
      <c r="D33" s="18"/>
      <c r="E33" s="18" t="s">
        <v>914</v>
      </c>
      <c r="F33" s="5"/>
      <c r="G33" s="123"/>
      <c r="H33" s="121"/>
      <c r="I33" s="6"/>
      <c r="K33" s="8"/>
      <c r="L33" s="8"/>
      <c r="M33" s="8"/>
      <c r="N33" s="8"/>
      <c r="O33" s="8"/>
      <c r="P33" s="212"/>
      <c r="Q33" s="212"/>
      <c r="R33" s="212"/>
      <c r="S33" s="212">
        <v>14319</v>
      </c>
      <c r="T33" s="212">
        <v>0</v>
      </c>
      <c r="U33" s="509">
        <f t="shared" si="4"/>
        <v>0</v>
      </c>
      <c r="V33" s="133"/>
      <c r="W33" s="133"/>
    </row>
    <row r="34" spans="1:23" ht="25.5">
      <c r="A34" s="19" t="s">
        <v>906</v>
      </c>
      <c r="B34" s="4" t="s">
        <v>108</v>
      </c>
      <c r="C34" s="27" t="s">
        <v>519</v>
      </c>
      <c r="D34" s="18"/>
      <c r="E34" s="18"/>
      <c r="F34" s="5">
        <f>F35</f>
        <v>576998</v>
      </c>
      <c r="G34" s="122">
        <f>G35</f>
        <v>906816</v>
      </c>
      <c r="H34" s="115">
        <f t="shared" si="0"/>
        <v>157.1610300209013</v>
      </c>
      <c r="I34" s="10" t="e">
        <f>F34/F256</f>
        <v>#REF!</v>
      </c>
      <c r="J34" s="37"/>
      <c r="K34" s="7">
        <f aca="true" t="shared" si="9" ref="K34:S34">K35</f>
        <v>0</v>
      </c>
      <c r="L34" s="7">
        <f t="shared" si="9"/>
        <v>200000</v>
      </c>
      <c r="M34" s="7" t="e">
        <f t="shared" si="9"/>
        <v>#REF!</v>
      </c>
      <c r="N34" s="7" t="e">
        <f t="shared" si="9"/>
        <v>#REF!</v>
      </c>
      <c r="O34" s="7" t="e">
        <f t="shared" si="9"/>
        <v>#REF!</v>
      </c>
      <c r="P34" s="271" t="e">
        <f t="shared" si="9"/>
        <v>#REF!</v>
      </c>
      <c r="Q34" s="271" t="e">
        <f t="shared" si="9"/>
        <v>#REF!</v>
      </c>
      <c r="R34" s="271" t="e">
        <f t="shared" si="9"/>
        <v>#REF!</v>
      </c>
      <c r="S34" s="271">
        <f t="shared" si="9"/>
        <v>1309839</v>
      </c>
      <c r="T34" s="271">
        <f>T35</f>
        <v>1451890</v>
      </c>
      <c r="U34" s="509">
        <f t="shared" si="4"/>
        <v>110.8449206352842</v>
      </c>
      <c r="V34" s="133">
        <f aca="true" t="shared" si="10" ref="V34:V65">S34/$S$256</f>
        <v>0.03750518408260722</v>
      </c>
      <c r="W34" s="133">
        <f aca="true" t="shared" si="11" ref="W34:W72">T34/$T$256</f>
        <v>0.04427169585699574</v>
      </c>
    </row>
    <row r="35" spans="1:23" ht="26.25" customHeight="1">
      <c r="A35" s="19" t="s">
        <v>85</v>
      </c>
      <c r="B35" s="4" t="s">
        <v>109</v>
      </c>
      <c r="C35" s="27"/>
      <c r="D35" s="27" t="s">
        <v>521</v>
      </c>
      <c r="E35" s="27"/>
      <c r="F35" s="9">
        <f>F38+F40</f>
        <v>576998</v>
      </c>
      <c r="G35" s="122">
        <f>G38+G40+G39</f>
        <v>906816</v>
      </c>
      <c r="H35" s="115">
        <f t="shared" si="0"/>
        <v>157.1610300209013</v>
      </c>
      <c r="I35" s="10" t="e">
        <f>F35/F256</f>
        <v>#REF!</v>
      </c>
      <c r="J35" s="37"/>
      <c r="K35" s="7">
        <f>K38+K40+K39</f>
        <v>0</v>
      </c>
      <c r="L35" s="7">
        <f>L38+L40+L39</f>
        <v>200000</v>
      </c>
      <c r="M35" s="7" t="e">
        <f>M38+M39+M40+#REF!+M37</f>
        <v>#REF!</v>
      </c>
      <c r="N35" s="7" t="e">
        <f>N38+N39+N40+#REF!+N37</f>
        <v>#REF!</v>
      </c>
      <c r="O35" s="7" t="e">
        <f>O38+O39+O40+#REF!+O37</f>
        <v>#REF!</v>
      </c>
      <c r="P35" s="271" t="e">
        <f>P38+P39+P40+#REF!+P37+P36</f>
        <v>#REF!</v>
      </c>
      <c r="Q35" s="271" t="e">
        <f>Q38+Q39+Q40+#REF!+Q37+Q36</f>
        <v>#REF!</v>
      </c>
      <c r="R35" s="271" t="e">
        <f>R38+R39+R40+#REF!+R37+R36</f>
        <v>#REF!</v>
      </c>
      <c r="S35" s="271">
        <f>S36+S37+S38+S39+S40</f>
        <v>1309839</v>
      </c>
      <c r="T35" s="271">
        <f>T36+T37+T38+T39+T40</f>
        <v>1451890</v>
      </c>
      <c r="U35" s="132">
        <f aca="true" t="shared" si="12" ref="U35:U86">T35/S35*100</f>
        <v>110.8449206352842</v>
      </c>
      <c r="V35" s="133">
        <f t="shared" si="10"/>
        <v>0.03750518408260722</v>
      </c>
      <c r="W35" s="133">
        <f t="shared" si="11"/>
        <v>0.04427169585699574</v>
      </c>
    </row>
    <row r="36" spans="1:23" ht="14.25" customHeight="1">
      <c r="A36" s="19"/>
      <c r="B36" s="8" t="s">
        <v>98</v>
      </c>
      <c r="C36" s="27"/>
      <c r="D36" s="31"/>
      <c r="E36" s="31" t="s">
        <v>307</v>
      </c>
      <c r="F36" s="107"/>
      <c r="G36" s="131"/>
      <c r="H36" s="132"/>
      <c r="I36" s="133"/>
      <c r="J36" s="113"/>
      <c r="K36" s="20"/>
      <c r="L36" s="20"/>
      <c r="M36" s="20"/>
      <c r="N36" s="20"/>
      <c r="O36" s="20"/>
      <c r="P36" s="280">
        <v>26</v>
      </c>
      <c r="Q36" s="280">
        <v>0</v>
      </c>
      <c r="R36" s="280">
        <v>0</v>
      </c>
      <c r="S36" s="280">
        <v>18</v>
      </c>
      <c r="T36" s="8">
        <v>26</v>
      </c>
      <c r="U36" s="132">
        <f t="shared" si="12"/>
        <v>144.44444444444443</v>
      </c>
      <c r="V36" s="133">
        <f t="shared" si="10"/>
        <v>5.154017505105055E-07</v>
      </c>
      <c r="W36" s="133">
        <f t="shared" si="11"/>
        <v>7.928039261114059E-07</v>
      </c>
    </row>
    <row r="37" spans="1:23" ht="26.25" customHeight="1">
      <c r="A37" s="21"/>
      <c r="B37" s="11" t="s">
        <v>102</v>
      </c>
      <c r="C37" s="31"/>
      <c r="D37" s="31"/>
      <c r="E37" s="31" t="s">
        <v>308</v>
      </c>
      <c r="F37" s="107"/>
      <c r="G37" s="131"/>
      <c r="H37" s="132"/>
      <c r="I37" s="133"/>
      <c r="J37" s="113"/>
      <c r="K37" s="20"/>
      <c r="L37" s="20"/>
      <c r="M37" s="20">
        <v>8213</v>
      </c>
      <c r="N37" s="20">
        <v>0</v>
      </c>
      <c r="O37" s="20">
        <v>0</v>
      </c>
      <c r="P37" s="212">
        <v>9201</v>
      </c>
      <c r="Q37" s="212">
        <v>0</v>
      </c>
      <c r="R37" s="212">
        <v>0</v>
      </c>
      <c r="S37" s="212">
        <v>4167</v>
      </c>
      <c r="T37" s="8">
        <v>5350</v>
      </c>
      <c r="U37" s="132">
        <f t="shared" si="12"/>
        <v>128.38972882169426</v>
      </c>
      <c r="V37" s="133">
        <f t="shared" si="10"/>
        <v>0.00011931550524318201</v>
      </c>
      <c r="W37" s="133">
        <f t="shared" si="11"/>
        <v>0.00016313465402677005</v>
      </c>
    </row>
    <row r="38" spans="1:23" ht="15.75" customHeight="1">
      <c r="A38" s="21"/>
      <c r="B38" s="29" t="s">
        <v>762</v>
      </c>
      <c r="C38" s="18"/>
      <c r="D38" s="18"/>
      <c r="E38" s="18" t="s">
        <v>761</v>
      </c>
      <c r="F38" s="5">
        <v>570998</v>
      </c>
      <c r="G38" s="123">
        <v>882016</v>
      </c>
      <c r="H38" s="121">
        <f t="shared" si="0"/>
        <v>154.46919253657632</v>
      </c>
      <c r="I38" s="6" t="e">
        <f>F38/F256</f>
        <v>#REF!</v>
      </c>
      <c r="K38" s="8">
        <v>0</v>
      </c>
      <c r="L38" s="8">
        <v>200000</v>
      </c>
      <c r="M38" s="8">
        <v>547167</v>
      </c>
      <c r="N38" s="8">
        <v>0</v>
      </c>
      <c r="O38" s="8">
        <v>0</v>
      </c>
      <c r="P38" s="212">
        <v>425245</v>
      </c>
      <c r="Q38" s="212">
        <v>0</v>
      </c>
      <c r="R38" s="212">
        <v>0</v>
      </c>
      <c r="S38" s="212">
        <v>1267868</v>
      </c>
      <c r="T38" s="8">
        <v>1409112</v>
      </c>
      <c r="U38" s="132">
        <f t="shared" si="12"/>
        <v>111.14027643256239</v>
      </c>
      <c r="V38" s="133">
        <f t="shared" si="10"/>
        <v>0.036303410367569636</v>
      </c>
      <c r="W38" s="133">
        <f t="shared" si="11"/>
        <v>0.0429672894588729</v>
      </c>
    </row>
    <row r="39" spans="1:23" ht="12.75" customHeight="1">
      <c r="A39" s="21"/>
      <c r="B39" s="29" t="s">
        <v>94</v>
      </c>
      <c r="C39" s="18"/>
      <c r="D39" s="18"/>
      <c r="E39" s="18" t="s">
        <v>306</v>
      </c>
      <c r="F39" s="5"/>
      <c r="G39" s="123">
        <v>7000</v>
      </c>
      <c r="H39" s="121"/>
      <c r="I39" s="6"/>
      <c r="K39" s="8">
        <v>0</v>
      </c>
      <c r="L39" s="8">
        <v>0</v>
      </c>
      <c r="M39" s="8">
        <v>800</v>
      </c>
      <c r="N39" s="8">
        <v>0</v>
      </c>
      <c r="O39" s="8">
        <v>0</v>
      </c>
      <c r="P39" s="212">
        <v>4899</v>
      </c>
      <c r="Q39" s="212">
        <v>0</v>
      </c>
      <c r="R39" s="212">
        <v>0</v>
      </c>
      <c r="S39" s="212">
        <v>3286</v>
      </c>
      <c r="T39" s="8">
        <v>2750</v>
      </c>
      <c r="U39" s="132">
        <f t="shared" si="12"/>
        <v>83.68837492391967</v>
      </c>
      <c r="V39" s="133">
        <f t="shared" si="10"/>
        <v>9.408945289875116E-05</v>
      </c>
      <c r="W39" s="133">
        <f t="shared" si="11"/>
        <v>8.385426141562947E-05</v>
      </c>
    </row>
    <row r="40" spans="1:23" ht="14.25" customHeight="1">
      <c r="A40" s="19"/>
      <c r="B40" s="29" t="s">
        <v>386</v>
      </c>
      <c r="C40" s="18"/>
      <c r="D40" s="18"/>
      <c r="E40" s="18" t="s">
        <v>310</v>
      </c>
      <c r="F40" s="5">
        <v>6000</v>
      </c>
      <c r="G40" s="123">
        <v>17800</v>
      </c>
      <c r="H40" s="121">
        <f t="shared" si="0"/>
        <v>296.6666666666667</v>
      </c>
      <c r="I40" s="6" t="e">
        <f>F40/F256</f>
        <v>#REF!</v>
      </c>
      <c r="K40" s="8">
        <v>0</v>
      </c>
      <c r="L40" s="8">
        <v>0</v>
      </c>
      <c r="M40" s="8">
        <v>9000</v>
      </c>
      <c r="N40" s="8">
        <v>0</v>
      </c>
      <c r="O40" s="8">
        <v>0</v>
      </c>
      <c r="P40" s="212">
        <v>7950</v>
      </c>
      <c r="Q40" s="212">
        <v>0</v>
      </c>
      <c r="R40" s="212">
        <v>0</v>
      </c>
      <c r="S40" s="212">
        <v>34500</v>
      </c>
      <c r="T40" s="8">
        <v>34652</v>
      </c>
      <c r="U40" s="132">
        <f t="shared" si="12"/>
        <v>100.44057971014493</v>
      </c>
      <c r="V40" s="133">
        <f t="shared" si="10"/>
        <v>0.0009878533551451354</v>
      </c>
      <c r="W40" s="133">
        <f t="shared" si="11"/>
        <v>0.0010566246787543246</v>
      </c>
    </row>
    <row r="41" spans="1:23" ht="17.25" customHeight="1">
      <c r="A41" s="19" t="s">
        <v>908</v>
      </c>
      <c r="B41" s="124" t="s">
        <v>124</v>
      </c>
      <c r="C41" s="58">
        <v>750</v>
      </c>
      <c r="D41" s="33"/>
      <c r="E41" s="33"/>
      <c r="F41" s="5">
        <f>F42</f>
        <v>585000</v>
      </c>
      <c r="G41" s="122">
        <f>G42</f>
        <v>740250</v>
      </c>
      <c r="H41" s="115">
        <f t="shared" si="0"/>
        <v>126.53846153846153</v>
      </c>
      <c r="I41" s="10" t="e">
        <f>F41/F256</f>
        <v>#REF!</v>
      </c>
      <c r="J41" s="37"/>
      <c r="K41" s="7">
        <f>K42</f>
        <v>0</v>
      </c>
      <c r="L41" s="7">
        <f>L42</f>
        <v>0</v>
      </c>
      <c r="M41" s="7">
        <f aca="true" t="shared" si="13" ref="M41:R41">M42+M49</f>
        <v>567720</v>
      </c>
      <c r="N41" s="7">
        <f t="shared" si="13"/>
        <v>0</v>
      </c>
      <c r="O41" s="7">
        <f t="shared" si="13"/>
        <v>0</v>
      </c>
      <c r="P41" s="272">
        <f t="shared" si="13"/>
        <v>536299</v>
      </c>
      <c r="Q41" s="272">
        <f t="shared" si="13"/>
        <v>0</v>
      </c>
      <c r="R41" s="272">
        <f t="shared" si="13"/>
        <v>0</v>
      </c>
      <c r="S41" s="272">
        <f>S42</f>
        <v>788738</v>
      </c>
      <c r="T41" s="272">
        <f>T42</f>
        <v>1115188</v>
      </c>
      <c r="U41" s="132">
        <f t="shared" si="12"/>
        <v>141.38890227173027</v>
      </c>
      <c r="V41" s="133">
        <f t="shared" si="10"/>
        <v>0.022584274771897502</v>
      </c>
      <c r="W41" s="133">
        <f t="shared" si="11"/>
        <v>0.034004824028935635</v>
      </c>
    </row>
    <row r="42" spans="1:23" ht="15.75" customHeight="1">
      <c r="A42" s="19" t="s">
        <v>85</v>
      </c>
      <c r="B42" s="7" t="s">
        <v>125</v>
      </c>
      <c r="C42" s="58"/>
      <c r="D42" s="58">
        <v>75020</v>
      </c>
      <c r="E42" s="58"/>
      <c r="F42" s="9">
        <f>F43+F44+F45+F46+F47+F48</f>
        <v>585000</v>
      </c>
      <c r="G42" s="122">
        <f>G43+G44+G45+G46+G47+G48</f>
        <v>740250</v>
      </c>
      <c r="H42" s="115">
        <f t="shared" si="0"/>
        <v>126.53846153846153</v>
      </c>
      <c r="I42" s="10" t="e">
        <f>F42/F256</f>
        <v>#REF!</v>
      </c>
      <c r="J42" s="37"/>
      <c r="K42" s="7">
        <f>K43+K44+K45+K46+K48</f>
        <v>0</v>
      </c>
      <c r="L42" s="7">
        <f>L43+L44+L45+L46+L48</f>
        <v>0</v>
      </c>
      <c r="M42" s="7">
        <f aca="true" t="shared" si="14" ref="M42:R42">M43+M44+M45+M46+M48+M47</f>
        <v>564670</v>
      </c>
      <c r="N42" s="7">
        <f t="shared" si="14"/>
        <v>0</v>
      </c>
      <c r="O42" s="7">
        <f t="shared" si="14"/>
        <v>0</v>
      </c>
      <c r="P42" s="271">
        <f t="shared" si="14"/>
        <v>536299</v>
      </c>
      <c r="Q42" s="271">
        <f t="shared" si="14"/>
        <v>0</v>
      </c>
      <c r="R42" s="271">
        <f t="shared" si="14"/>
        <v>0</v>
      </c>
      <c r="S42" s="271">
        <f>S43+S44+S45+S47+S48</f>
        <v>788738</v>
      </c>
      <c r="T42" s="271">
        <f>T43+T44+T45+T47+T48</f>
        <v>1115188</v>
      </c>
      <c r="U42" s="132">
        <f t="shared" si="12"/>
        <v>141.38890227173027</v>
      </c>
      <c r="V42" s="133">
        <f t="shared" si="10"/>
        <v>0.022584274771897502</v>
      </c>
      <c r="W42" s="133">
        <f t="shared" si="11"/>
        <v>0.034004824028935635</v>
      </c>
    </row>
    <row r="43" spans="1:23" ht="16.5" customHeight="1">
      <c r="A43" s="24"/>
      <c r="B43" s="8" t="s">
        <v>126</v>
      </c>
      <c r="C43" s="18"/>
      <c r="D43" s="18"/>
      <c r="E43" s="18" t="s">
        <v>311</v>
      </c>
      <c r="F43" s="5">
        <v>500000</v>
      </c>
      <c r="G43" s="123">
        <v>650000</v>
      </c>
      <c r="H43" s="121">
        <f t="shared" si="0"/>
        <v>130</v>
      </c>
      <c r="I43" s="6" t="e">
        <f>F43/F256</f>
        <v>#REF!</v>
      </c>
      <c r="K43" s="8">
        <v>0</v>
      </c>
      <c r="L43" s="8">
        <v>0</v>
      </c>
      <c r="M43" s="8">
        <v>529000</v>
      </c>
      <c r="N43" s="8">
        <v>0</v>
      </c>
      <c r="O43" s="8">
        <v>0</v>
      </c>
      <c r="P43" s="212">
        <v>523273</v>
      </c>
      <c r="Q43" s="212">
        <v>0</v>
      </c>
      <c r="R43" s="212">
        <v>0</v>
      </c>
      <c r="S43" s="212">
        <v>780000</v>
      </c>
      <c r="T43" s="8">
        <v>1096800</v>
      </c>
      <c r="U43" s="132">
        <f t="shared" si="12"/>
        <v>140.6153846153846</v>
      </c>
      <c r="V43" s="133">
        <f t="shared" si="10"/>
        <v>0.022334075855455236</v>
      </c>
      <c r="W43" s="133">
        <f t="shared" si="11"/>
        <v>0.03344412869842269</v>
      </c>
    </row>
    <row r="44" spans="1:23" ht="14.25" customHeight="1">
      <c r="A44" s="24"/>
      <c r="B44" s="8" t="s">
        <v>98</v>
      </c>
      <c r="C44" s="18"/>
      <c r="D44" s="18"/>
      <c r="E44" s="18" t="s">
        <v>307</v>
      </c>
      <c r="F44" s="5">
        <v>10000</v>
      </c>
      <c r="G44" s="123">
        <v>10000</v>
      </c>
      <c r="H44" s="121">
        <f t="shared" si="0"/>
        <v>100</v>
      </c>
      <c r="I44" s="6" t="e">
        <f>F44/F256</f>
        <v>#REF!</v>
      </c>
      <c r="K44" s="8">
        <v>0</v>
      </c>
      <c r="L44" s="8">
        <v>0</v>
      </c>
      <c r="M44" s="8">
        <v>1800</v>
      </c>
      <c r="N44" s="8">
        <v>0</v>
      </c>
      <c r="O44" s="8">
        <v>0</v>
      </c>
      <c r="P44" s="212">
        <v>1800</v>
      </c>
      <c r="Q44" s="212">
        <v>0</v>
      </c>
      <c r="R44" s="212">
        <v>0</v>
      </c>
      <c r="S44" s="212">
        <v>1400</v>
      </c>
      <c r="T44" s="8">
        <v>1450</v>
      </c>
      <c r="U44" s="132">
        <f t="shared" si="12"/>
        <v>103.57142857142858</v>
      </c>
      <c r="V44" s="133">
        <f t="shared" si="10"/>
        <v>4.008680281748376E-05</v>
      </c>
      <c r="W44" s="133">
        <f t="shared" si="11"/>
        <v>4.421406511005918E-05</v>
      </c>
    </row>
    <row r="45" spans="1:23" ht="24" customHeight="1">
      <c r="A45" s="24"/>
      <c r="B45" s="11" t="s">
        <v>102</v>
      </c>
      <c r="C45" s="18"/>
      <c r="D45" s="18"/>
      <c r="E45" s="18" t="s">
        <v>308</v>
      </c>
      <c r="F45" s="5">
        <v>2000</v>
      </c>
      <c r="G45" s="123">
        <v>5000</v>
      </c>
      <c r="H45" s="121">
        <f t="shared" si="0"/>
        <v>250</v>
      </c>
      <c r="I45" s="6" t="e">
        <f>F45/F256</f>
        <v>#REF!</v>
      </c>
      <c r="K45" s="8">
        <v>0</v>
      </c>
      <c r="L45" s="8">
        <v>0</v>
      </c>
      <c r="M45" s="8">
        <v>1070</v>
      </c>
      <c r="N45" s="8">
        <v>0</v>
      </c>
      <c r="O45" s="8">
        <v>0</v>
      </c>
      <c r="P45" s="212">
        <v>676</v>
      </c>
      <c r="Q45" s="212">
        <v>0</v>
      </c>
      <c r="R45" s="212">
        <v>0</v>
      </c>
      <c r="S45" s="212">
        <v>738</v>
      </c>
      <c r="T45" s="8">
        <v>1138</v>
      </c>
      <c r="U45" s="132">
        <f t="shared" si="12"/>
        <v>154.20054200542006</v>
      </c>
      <c r="V45" s="133">
        <f t="shared" si="10"/>
        <v>2.1131471770930723E-05</v>
      </c>
      <c r="W45" s="133">
        <f t="shared" si="11"/>
        <v>3.470041799672231E-05</v>
      </c>
    </row>
    <row r="46" spans="1:23" ht="20.25" customHeight="1" hidden="1">
      <c r="A46" s="24"/>
      <c r="B46" s="11" t="s">
        <v>104</v>
      </c>
      <c r="C46" s="18"/>
      <c r="D46" s="18"/>
      <c r="E46" s="18" t="s">
        <v>105</v>
      </c>
      <c r="F46" s="5">
        <v>2000</v>
      </c>
      <c r="G46" s="123">
        <v>5250</v>
      </c>
      <c r="H46" s="121">
        <f t="shared" si="0"/>
        <v>262.5</v>
      </c>
      <c r="I46" s="6" t="e">
        <f>F46/F256</f>
        <v>#REF!</v>
      </c>
      <c r="K46" s="8">
        <v>0</v>
      </c>
      <c r="L46" s="8">
        <v>0</v>
      </c>
      <c r="M46" s="8">
        <v>3800</v>
      </c>
      <c r="N46" s="8">
        <v>0</v>
      </c>
      <c r="O46" s="8">
        <v>0</v>
      </c>
      <c r="P46" s="212">
        <v>0</v>
      </c>
      <c r="Q46" s="212">
        <v>0</v>
      </c>
      <c r="R46" s="212">
        <v>0</v>
      </c>
      <c r="S46" s="212">
        <v>0</v>
      </c>
      <c r="T46" s="8"/>
      <c r="U46" s="132" t="e">
        <f t="shared" si="12"/>
        <v>#DIV/0!</v>
      </c>
      <c r="V46" s="133">
        <f t="shared" si="10"/>
        <v>0</v>
      </c>
      <c r="W46" s="133">
        <f t="shared" si="11"/>
        <v>0</v>
      </c>
    </row>
    <row r="47" spans="1:23" ht="12.75" customHeight="1">
      <c r="A47" s="24"/>
      <c r="B47" s="8" t="s">
        <v>104</v>
      </c>
      <c r="C47" s="18"/>
      <c r="D47" s="18"/>
      <c r="E47" s="18" t="s">
        <v>309</v>
      </c>
      <c r="F47" s="5">
        <v>10000</v>
      </c>
      <c r="G47" s="123">
        <v>0</v>
      </c>
      <c r="H47" s="121">
        <f t="shared" si="0"/>
        <v>0</v>
      </c>
      <c r="I47" s="6" t="e">
        <f>F47/F256</f>
        <v>#REF!</v>
      </c>
      <c r="K47" s="8"/>
      <c r="L47" s="8"/>
      <c r="M47" s="8">
        <v>4000</v>
      </c>
      <c r="N47" s="8">
        <v>0</v>
      </c>
      <c r="O47" s="8">
        <v>0</v>
      </c>
      <c r="P47" s="212">
        <v>2785</v>
      </c>
      <c r="Q47" s="212">
        <v>0</v>
      </c>
      <c r="R47" s="212">
        <v>0</v>
      </c>
      <c r="S47" s="212">
        <v>100</v>
      </c>
      <c r="T47" s="8">
        <v>200</v>
      </c>
      <c r="U47" s="132">
        <f t="shared" si="12"/>
        <v>200</v>
      </c>
      <c r="V47" s="133">
        <f t="shared" si="10"/>
        <v>2.8633430583916967E-06</v>
      </c>
      <c r="W47" s="133">
        <f t="shared" si="11"/>
        <v>6.098491739318507E-06</v>
      </c>
    </row>
    <row r="48" spans="1:23" ht="14.25" customHeight="1">
      <c r="A48" s="24"/>
      <c r="B48" s="11" t="s">
        <v>127</v>
      </c>
      <c r="C48" s="18"/>
      <c r="D48" s="18"/>
      <c r="E48" s="18" t="s">
        <v>310</v>
      </c>
      <c r="F48" s="5">
        <v>61000</v>
      </c>
      <c r="G48" s="123">
        <v>70000</v>
      </c>
      <c r="H48" s="121">
        <f t="shared" si="0"/>
        <v>114.75409836065573</v>
      </c>
      <c r="I48" s="6" t="e">
        <f>F48/F256</f>
        <v>#REF!</v>
      </c>
      <c r="K48" s="8">
        <v>0</v>
      </c>
      <c r="L48" s="8">
        <v>0</v>
      </c>
      <c r="M48" s="8">
        <v>25000</v>
      </c>
      <c r="N48" s="8">
        <v>0</v>
      </c>
      <c r="O48" s="8">
        <v>0</v>
      </c>
      <c r="P48" s="212">
        <v>7765</v>
      </c>
      <c r="Q48" s="212">
        <v>0</v>
      </c>
      <c r="R48" s="212">
        <v>0</v>
      </c>
      <c r="S48" s="212">
        <v>6500</v>
      </c>
      <c r="T48" s="8">
        <v>15600</v>
      </c>
      <c r="U48" s="132">
        <f t="shared" si="12"/>
        <v>240</v>
      </c>
      <c r="V48" s="133">
        <f t="shared" si="10"/>
        <v>0.0001861172987954603</v>
      </c>
      <c r="W48" s="133">
        <f t="shared" si="11"/>
        <v>0.00047568235566684353</v>
      </c>
    </row>
    <row r="49" spans="1:23" ht="21.75" customHeight="1" hidden="1">
      <c r="A49" s="59" t="s">
        <v>96</v>
      </c>
      <c r="B49" s="4" t="s">
        <v>556</v>
      </c>
      <c r="C49" s="27"/>
      <c r="D49" s="27" t="s">
        <v>555</v>
      </c>
      <c r="E49" s="27"/>
      <c r="F49" s="9"/>
      <c r="G49" s="122"/>
      <c r="H49" s="115"/>
      <c r="I49" s="10"/>
      <c r="J49" s="37"/>
      <c r="K49" s="7"/>
      <c r="L49" s="7"/>
      <c r="M49" s="7">
        <f aca="true" t="shared" si="15" ref="M49:R49">M50</f>
        <v>3050</v>
      </c>
      <c r="N49" s="7">
        <f t="shared" si="15"/>
        <v>0</v>
      </c>
      <c r="O49" s="7">
        <f t="shared" si="15"/>
        <v>0</v>
      </c>
      <c r="P49" s="272">
        <f t="shared" si="15"/>
        <v>0</v>
      </c>
      <c r="Q49" s="272">
        <f t="shared" si="15"/>
        <v>0</v>
      </c>
      <c r="R49" s="272">
        <f t="shared" si="15"/>
        <v>0</v>
      </c>
      <c r="S49" s="212"/>
      <c r="T49" s="8"/>
      <c r="U49" s="132" t="e">
        <f t="shared" si="12"/>
        <v>#DIV/0!</v>
      </c>
      <c r="V49" s="133">
        <f t="shared" si="10"/>
        <v>0</v>
      </c>
      <c r="W49" s="133">
        <f t="shared" si="11"/>
        <v>0</v>
      </c>
    </row>
    <row r="50" spans="1:23" ht="0.75" customHeight="1" hidden="1">
      <c r="A50" s="48"/>
      <c r="B50" s="11" t="s">
        <v>251</v>
      </c>
      <c r="C50" s="18"/>
      <c r="D50" s="18"/>
      <c r="E50" s="18" t="s">
        <v>250</v>
      </c>
      <c r="F50" s="5"/>
      <c r="G50" s="123"/>
      <c r="H50" s="121"/>
      <c r="I50" s="6"/>
      <c r="K50" s="8"/>
      <c r="L50" s="8"/>
      <c r="M50" s="8">
        <v>3050</v>
      </c>
      <c r="N50" s="8">
        <v>0</v>
      </c>
      <c r="O50" s="8">
        <v>0</v>
      </c>
      <c r="P50" s="212">
        <v>0</v>
      </c>
      <c r="Q50" s="212">
        <v>0</v>
      </c>
      <c r="R50" s="212">
        <v>0</v>
      </c>
      <c r="S50" s="212"/>
      <c r="T50" s="8"/>
      <c r="U50" s="132" t="e">
        <f t="shared" si="12"/>
        <v>#DIV/0!</v>
      </c>
      <c r="V50" s="133">
        <f t="shared" si="10"/>
        <v>0</v>
      </c>
      <c r="W50" s="133">
        <f t="shared" si="11"/>
        <v>0</v>
      </c>
    </row>
    <row r="51" spans="1:23" ht="25.5" customHeight="1" hidden="1">
      <c r="A51" s="59" t="s">
        <v>910</v>
      </c>
      <c r="B51" s="4" t="s">
        <v>128</v>
      </c>
      <c r="C51" s="58">
        <v>754</v>
      </c>
      <c r="D51" s="33"/>
      <c r="E51" s="33"/>
      <c r="F51" s="5">
        <f>F52+F54</f>
        <v>18600</v>
      </c>
      <c r="G51" s="122">
        <f>G52+G54</f>
        <v>19700</v>
      </c>
      <c r="H51" s="115">
        <f t="shared" si="0"/>
        <v>105.91397849462365</v>
      </c>
      <c r="I51" s="10" t="e">
        <f>F51/F256</f>
        <v>#REF!</v>
      </c>
      <c r="J51" s="37"/>
      <c r="K51" s="7">
        <f aca="true" t="shared" si="16" ref="K51:P51">K52+K54</f>
        <v>0</v>
      </c>
      <c r="L51" s="7">
        <f t="shared" si="16"/>
        <v>0</v>
      </c>
      <c r="M51" s="7">
        <f t="shared" si="16"/>
        <v>6000</v>
      </c>
      <c r="N51" s="7">
        <f t="shared" si="16"/>
        <v>0</v>
      </c>
      <c r="O51" s="7">
        <f t="shared" si="16"/>
        <v>0</v>
      </c>
      <c r="P51" s="271">
        <f t="shared" si="16"/>
        <v>1000</v>
      </c>
      <c r="Q51" s="271">
        <f>Q52+Q54</f>
        <v>0</v>
      </c>
      <c r="R51" s="271">
        <f>R52+R54</f>
        <v>0</v>
      </c>
      <c r="S51" s="271">
        <f>S52+S54</f>
        <v>0</v>
      </c>
      <c r="T51" s="271">
        <f>T52+T54</f>
        <v>0</v>
      </c>
      <c r="U51" s="132" t="e">
        <f t="shared" si="12"/>
        <v>#DIV/0!</v>
      </c>
      <c r="V51" s="133">
        <f t="shared" si="10"/>
        <v>0</v>
      </c>
      <c r="W51" s="133">
        <f t="shared" si="11"/>
        <v>0</v>
      </c>
    </row>
    <row r="52" spans="1:23" ht="21.75" customHeight="1" hidden="1">
      <c r="A52" s="59" t="s">
        <v>85</v>
      </c>
      <c r="B52" s="108" t="s">
        <v>570</v>
      </c>
      <c r="C52" s="58"/>
      <c r="D52" s="58">
        <v>75405</v>
      </c>
      <c r="E52" s="58"/>
      <c r="F52" s="9">
        <f>F53</f>
        <v>9000</v>
      </c>
      <c r="G52" s="122">
        <f>G53</f>
        <v>9700</v>
      </c>
      <c r="H52" s="115">
        <f t="shared" si="0"/>
        <v>107.77777777777777</v>
      </c>
      <c r="I52" s="10" t="e">
        <f>F52/F256</f>
        <v>#REF!</v>
      </c>
      <c r="J52" s="37"/>
      <c r="K52" s="7">
        <f aca="true" t="shared" si="17" ref="K52:R52">K53</f>
        <v>0</v>
      </c>
      <c r="L52" s="7">
        <f t="shared" si="17"/>
        <v>0</v>
      </c>
      <c r="M52" s="7">
        <f t="shared" si="17"/>
        <v>5000</v>
      </c>
      <c r="N52" s="7">
        <f t="shared" si="17"/>
        <v>0</v>
      </c>
      <c r="O52" s="7">
        <f t="shared" si="17"/>
        <v>0</v>
      </c>
      <c r="P52" s="271">
        <f t="shared" si="17"/>
        <v>0</v>
      </c>
      <c r="Q52" s="271">
        <f t="shared" si="17"/>
        <v>0</v>
      </c>
      <c r="R52" s="271">
        <f t="shared" si="17"/>
        <v>0</v>
      </c>
      <c r="S52" s="212"/>
      <c r="T52" s="8"/>
      <c r="U52" s="132" t="e">
        <f t="shared" si="12"/>
        <v>#DIV/0!</v>
      </c>
      <c r="V52" s="133">
        <f t="shared" si="10"/>
        <v>0</v>
      </c>
      <c r="W52" s="133">
        <f t="shared" si="11"/>
        <v>0</v>
      </c>
    </row>
    <row r="53" spans="1:23" ht="0.75" customHeight="1" hidden="1">
      <c r="A53" s="53"/>
      <c r="B53" s="126" t="s">
        <v>94</v>
      </c>
      <c r="C53" s="18"/>
      <c r="D53" s="18"/>
      <c r="E53" s="18" t="s">
        <v>95</v>
      </c>
      <c r="F53" s="5">
        <v>9000</v>
      </c>
      <c r="G53" s="123">
        <v>9700</v>
      </c>
      <c r="H53" s="121">
        <f t="shared" si="0"/>
        <v>107.77777777777777</v>
      </c>
      <c r="I53" s="6" t="e">
        <f>F53/F256</f>
        <v>#REF!</v>
      </c>
      <c r="K53" s="8">
        <v>0</v>
      </c>
      <c r="L53" s="8">
        <v>0</v>
      </c>
      <c r="M53" s="8">
        <v>5000</v>
      </c>
      <c r="N53" s="8">
        <v>0</v>
      </c>
      <c r="O53" s="8">
        <v>0</v>
      </c>
      <c r="P53" s="212">
        <v>0</v>
      </c>
      <c r="Q53" s="212">
        <v>0</v>
      </c>
      <c r="R53" s="212">
        <v>0</v>
      </c>
      <c r="S53" s="212"/>
      <c r="T53" s="8"/>
      <c r="U53" s="132" t="e">
        <f t="shared" si="12"/>
        <v>#DIV/0!</v>
      </c>
      <c r="V53" s="133">
        <f t="shared" si="10"/>
        <v>0</v>
      </c>
      <c r="W53" s="133">
        <f t="shared" si="11"/>
        <v>0</v>
      </c>
    </row>
    <row r="54" spans="1:23" ht="24.75" customHeight="1" hidden="1">
      <c r="A54" s="19" t="s">
        <v>85</v>
      </c>
      <c r="B54" s="4" t="s">
        <v>871</v>
      </c>
      <c r="C54" s="27"/>
      <c r="D54" s="27" t="s">
        <v>587</v>
      </c>
      <c r="E54" s="27"/>
      <c r="F54" s="9">
        <f>F55</f>
        <v>9600</v>
      </c>
      <c r="G54" s="122">
        <f>G55</f>
        <v>10000</v>
      </c>
      <c r="H54" s="115">
        <f t="shared" si="0"/>
        <v>104.16666666666667</v>
      </c>
      <c r="I54" s="10" t="e">
        <f>F54/F256</f>
        <v>#REF!</v>
      </c>
      <c r="J54" s="37"/>
      <c r="K54" s="7">
        <f aca="true" t="shared" si="18" ref="K54:T54">K55</f>
        <v>0</v>
      </c>
      <c r="L54" s="7">
        <f t="shared" si="18"/>
        <v>0</v>
      </c>
      <c r="M54" s="7">
        <f t="shared" si="18"/>
        <v>1000</v>
      </c>
      <c r="N54" s="7">
        <f t="shared" si="18"/>
        <v>0</v>
      </c>
      <c r="O54" s="7">
        <f t="shared" si="18"/>
        <v>0</v>
      </c>
      <c r="P54" s="271">
        <f t="shared" si="18"/>
        <v>1000</v>
      </c>
      <c r="Q54" s="271">
        <f t="shared" si="18"/>
        <v>0</v>
      </c>
      <c r="R54" s="271">
        <f t="shared" si="18"/>
        <v>0</v>
      </c>
      <c r="S54" s="271">
        <f t="shared" si="18"/>
        <v>0</v>
      </c>
      <c r="T54" s="271">
        <f t="shared" si="18"/>
        <v>0</v>
      </c>
      <c r="U54" s="132" t="e">
        <f t="shared" si="12"/>
        <v>#DIV/0!</v>
      </c>
      <c r="V54" s="133">
        <f t="shared" si="10"/>
        <v>0</v>
      </c>
      <c r="W54" s="133">
        <f t="shared" si="11"/>
        <v>0</v>
      </c>
    </row>
    <row r="55" spans="1:23" ht="13.5" customHeight="1" hidden="1">
      <c r="A55" s="24"/>
      <c r="B55" s="11" t="s">
        <v>94</v>
      </c>
      <c r="C55" s="18"/>
      <c r="D55" s="18"/>
      <c r="E55" s="18" t="s">
        <v>306</v>
      </c>
      <c r="F55" s="5">
        <v>9600</v>
      </c>
      <c r="G55" s="123">
        <v>10000</v>
      </c>
      <c r="H55" s="121">
        <f t="shared" si="0"/>
        <v>104.16666666666667</v>
      </c>
      <c r="I55" s="6" t="e">
        <f>F55/F256</f>
        <v>#REF!</v>
      </c>
      <c r="K55" s="8">
        <v>0</v>
      </c>
      <c r="L55" s="8">
        <v>0</v>
      </c>
      <c r="M55" s="8">
        <v>1000</v>
      </c>
      <c r="N55" s="8">
        <v>0</v>
      </c>
      <c r="O55" s="8">
        <v>0</v>
      </c>
      <c r="P55" s="212">
        <v>1000</v>
      </c>
      <c r="Q55" s="212">
        <v>0</v>
      </c>
      <c r="R55" s="212">
        <v>0</v>
      </c>
      <c r="S55" s="212">
        <v>0</v>
      </c>
      <c r="T55" s="8">
        <v>0</v>
      </c>
      <c r="U55" s="132" t="e">
        <f t="shared" si="12"/>
        <v>#DIV/0!</v>
      </c>
      <c r="V55" s="133">
        <f t="shared" si="10"/>
        <v>0</v>
      </c>
      <c r="W55" s="133">
        <f t="shared" si="11"/>
        <v>0</v>
      </c>
    </row>
    <row r="56" spans="1:23" ht="35.25" customHeight="1">
      <c r="A56" s="19">
        <v>5</v>
      </c>
      <c r="B56" s="309" t="s">
        <v>335</v>
      </c>
      <c r="C56" s="27" t="s">
        <v>129</v>
      </c>
      <c r="D56" s="18"/>
      <c r="E56" s="18"/>
      <c r="F56" s="5">
        <f>F57</f>
        <v>285742</v>
      </c>
      <c r="G56" s="122">
        <f>G57</f>
        <v>239445</v>
      </c>
      <c r="H56" s="115">
        <f t="shared" si="0"/>
        <v>83.79762163070183</v>
      </c>
      <c r="I56" s="10" t="e">
        <f>F56/F256</f>
        <v>#REF!</v>
      </c>
      <c r="J56" s="37"/>
      <c r="K56" s="7">
        <f aca="true" t="shared" si="19" ref="K56:M57">K57</f>
        <v>0</v>
      </c>
      <c r="L56" s="7">
        <f t="shared" si="19"/>
        <v>0</v>
      </c>
      <c r="M56" s="7">
        <f t="shared" si="19"/>
        <v>134163</v>
      </c>
      <c r="N56" s="7">
        <f aca="true" t="shared" si="20" ref="N56:T57">N57</f>
        <v>0</v>
      </c>
      <c r="O56" s="7">
        <f t="shared" si="20"/>
        <v>0</v>
      </c>
      <c r="P56" s="271">
        <f t="shared" si="20"/>
        <v>141331</v>
      </c>
      <c r="Q56" s="271">
        <f t="shared" si="20"/>
        <v>0</v>
      </c>
      <c r="R56" s="271">
        <f t="shared" si="20"/>
        <v>0</v>
      </c>
      <c r="S56" s="271">
        <f t="shared" si="20"/>
        <v>1691664</v>
      </c>
      <c r="T56" s="271">
        <f t="shared" si="20"/>
        <v>2035013</v>
      </c>
      <c r="U56" s="132">
        <f t="shared" si="12"/>
        <v>120.29652460535898</v>
      </c>
      <c r="V56" s="133">
        <f t="shared" si="10"/>
        <v>0.04843814371531131</v>
      </c>
      <c r="W56" s="133">
        <f t="shared" si="11"/>
        <v>0.06205254984952886</v>
      </c>
    </row>
    <row r="57" spans="1:23" ht="26.25" customHeight="1">
      <c r="A57" s="19" t="s">
        <v>85</v>
      </c>
      <c r="B57" s="60" t="s">
        <v>333</v>
      </c>
      <c r="C57" s="18"/>
      <c r="D57" s="27" t="s">
        <v>130</v>
      </c>
      <c r="E57" s="27"/>
      <c r="F57" s="9">
        <f>F58</f>
        <v>285742</v>
      </c>
      <c r="G57" s="122">
        <f>G58</f>
        <v>239445</v>
      </c>
      <c r="H57" s="115">
        <f t="shared" si="0"/>
        <v>83.79762163070183</v>
      </c>
      <c r="I57" s="10" t="e">
        <f>F57/F256</f>
        <v>#REF!</v>
      </c>
      <c r="J57" s="37"/>
      <c r="K57" s="7">
        <f t="shared" si="19"/>
        <v>0</v>
      </c>
      <c r="L57" s="7">
        <f t="shared" si="19"/>
        <v>0</v>
      </c>
      <c r="M57" s="7">
        <f t="shared" si="19"/>
        <v>134163</v>
      </c>
      <c r="N57" s="7">
        <f t="shared" si="20"/>
        <v>0</v>
      </c>
      <c r="O57" s="7">
        <f t="shared" si="20"/>
        <v>0</v>
      </c>
      <c r="P57" s="271">
        <f t="shared" si="20"/>
        <v>141331</v>
      </c>
      <c r="Q57" s="271">
        <f t="shared" si="20"/>
        <v>0</v>
      </c>
      <c r="R57" s="271">
        <f t="shared" si="20"/>
        <v>0</v>
      </c>
      <c r="S57" s="271">
        <f>S58+S59</f>
        <v>1691664</v>
      </c>
      <c r="T57" s="271">
        <f>T58+T59</f>
        <v>2035013</v>
      </c>
      <c r="U57" s="132">
        <f t="shared" si="12"/>
        <v>120.29652460535898</v>
      </c>
      <c r="V57" s="133">
        <f t="shared" si="10"/>
        <v>0.04843814371531131</v>
      </c>
      <c r="W57" s="133">
        <f t="shared" si="11"/>
        <v>0.06205254984952886</v>
      </c>
    </row>
    <row r="58" spans="1:23" ht="16.5" customHeight="1">
      <c r="A58" s="24"/>
      <c r="B58" s="11" t="s">
        <v>334</v>
      </c>
      <c r="C58" s="18"/>
      <c r="D58" s="18"/>
      <c r="E58" s="18" t="s">
        <v>312</v>
      </c>
      <c r="F58" s="5">
        <v>285742</v>
      </c>
      <c r="G58" s="123">
        <v>239445</v>
      </c>
      <c r="H58" s="121">
        <f t="shared" si="0"/>
        <v>83.79762163070183</v>
      </c>
      <c r="I58" s="6" t="e">
        <f>F58/F256</f>
        <v>#REF!</v>
      </c>
      <c r="K58" s="8">
        <v>0</v>
      </c>
      <c r="L58" s="8">
        <v>0</v>
      </c>
      <c r="M58" s="8">
        <v>134163</v>
      </c>
      <c r="N58" s="8">
        <v>0</v>
      </c>
      <c r="O58" s="8">
        <v>0</v>
      </c>
      <c r="P58" s="212">
        <v>141331</v>
      </c>
      <c r="Q58" s="212">
        <v>0</v>
      </c>
      <c r="R58" s="212">
        <v>0</v>
      </c>
      <c r="S58" s="212">
        <v>1620992</v>
      </c>
      <c r="T58" s="8">
        <v>1950013</v>
      </c>
      <c r="U58" s="132">
        <f t="shared" si="12"/>
        <v>120.29750917956412</v>
      </c>
      <c r="V58" s="133">
        <f t="shared" si="10"/>
        <v>0.04641456190908474</v>
      </c>
      <c r="W58" s="133">
        <f t="shared" si="11"/>
        <v>0.0594606908603185</v>
      </c>
    </row>
    <row r="59" spans="1:23" ht="16.5" customHeight="1">
      <c r="A59" s="24"/>
      <c r="B59" s="11" t="s">
        <v>510</v>
      </c>
      <c r="C59" s="18"/>
      <c r="D59" s="18"/>
      <c r="E59" s="18" t="s">
        <v>313</v>
      </c>
      <c r="F59" s="5"/>
      <c r="G59" s="123"/>
      <c r="H59" s="121"/>
      <c r="I59" s="6"/>
      <c r="K59" s="8"/>
      <c r="L59" s="8"/>
      <c r="M59" s="8"/>
      <c r="N59" s="8"/>
      <c r="O59" s="8"/>
      <c r="P59" s="212"/>
      <c r="Q59" s="212"/>
      <c r="R59" s="212"/>
      <c r="S59" s="212">
        <v>70672</v>
      </c>
      <c r="T59" s="212">
        <v>85000</v>
      </c>
      <c r="U59" s="132">
        <f>T59/S59*100</f>
        <v>120.27394158931402</v>
      </c>
      <c r="V59" s="133">
        <f t="shared" si="10"/>
        <v>0.00202358180622658</v>
      </c>
      <c r="W59" s="133">
        <f t="shared" si="11"/>
        <v>0.0025918589892103654</v>
      </c>
    </row>
    <row r="60" spans="1:23" ht="18" customHeight="1">
      <c r="A60" s="19">
        <v>6</v>
      </c>
      <c r="B60" s="124" t="s">
        <v>131</v>
      </c>
      <c r="C60" s="58">
        <v>758</v>
      </c>
      <c r="D60" s="33"/>
      <c r="E60" s="33"/>
      <c r="F60" s="5">
        <f>F61+F63</f>
        <v>90000</v>
      </c>
      <c r="G60" s="122">
        <f>G63+G61</f>
        <v>100000</v>
      </c>
      <c r="H60" s="115">
        <f t="shared" si="0"/>
        <v>111.11111111111111</v>
      </c>
      <c r="I60" s="10" t="e">
        <f>F60/F256</f>
        <v>#REF!</v>
      </c>
      <c r="J60" s="37"/>
      <c r="K60" s="7">
        <f aca="true" t="shared" si="21" ref="K60:M61">K61</f>
        <v>0</v>
      </c>
      <c r="L60" s="7">
        <f t="shared" si="21"/>
        <v>0</v>
      </c>
      <c r="M60" s="7">
        <f t="shared" si="21"/>
        <v>60000</v>
      </c>
      <c r="N60" s="7">
        <f aca="true" t="shared" si="22" ref="N60:T61">N61</f>
        <v>0</v>
      </c>
      <c r="O60" s="7">
        <f t="shared" si="22"/>
        <v>0</v>
      </c>
      <c r="P60" s="271">
        <f t="shared" si="22"/>
        <v>20000</v>
      </c>
      <c r="Q60" s="271">
        <f t="shared" si="22"/>
        <v>0</v>
      </c>
      <c r="R60" s="271">
        <f t="shared" si="22"/>
        <v>0</v>
      </c>
      <c r="S60" s="271">
        <f t="shared" si="22"/>
        <v>55000</v>
      </c>
      <c r="T60" s="271">
        <f t="shared" si="22"/>
        <v>65000</v>
      </c>
      <c r="U60" s="132">
        <f t="shared" si="12"/>
        <v>118.18181818181819</v>
      </c>
      <c r="V60" s="133">
        <f t="shared" si="10"/>
        <v>0.0015748386821154332</v>
      </c>
      <c r="W60" s="133">
        <f t="shared" si="11"/>
        <v>0.0019820098152785147</v>
      </c>
    </row>
    <row r="61" spans="1:23" ht="17.25" customHeight="1">
      <c r="A61" s="59" t="s">
        <v>85</v>
      </c>
      <c r="B61" s="386" t="s">
        <v>132</v>
      </c>
      <c r="C61" s="127"/>
      <c r="D61" s="134">
        <v>75814</v>
      </c>
      <c r="E61" s="153"/>
      <c r="F61" s="137">
        <f>F62</f>
        <v>90000</v>
      </c>
      <c r="G61" s="154">
        <f>G62</f>
        <v>100000</v>
      </c>
      <c r="H61" s="156">
        <f t="shared" si="0"/>
        <v>111.11111111111111</v>
      </c>
      <c r="I61" s="155" t="e">
        <f>F61/F256</f>
        <v>#REF!</v>
      </c>
      <c r="J61" s="37"/>
      <c r="K61" s="106">
        <f t="shared" si="21"/>
        <v>0</v>
      </c>
      <c r="L61" s="106">
        <f t="shared" si="21"/>
        <v>0</v>
      </c>
      <c r="M61" s="106">
        <f t="shared" si="21"/>
        <v>60000</v>
      </c>
      <c r="N61" s="106">
        <f t="shared" si="22"/>
        <v>0</v>
      </c>
      <c r="O61" s="106">
        <f t="shared" si="22"/>
        <v>0</v>
      </c>
      <c r="P61" s="281">
        <f t="shared" si="22"/>
        <v>20000</v>
      </c>
      <c r="Q61" s="281">
        <f t="shared" si="22"/>
        <v>0</v>
      </c>
      <c r="R61" s="281">
        <f t="shared" si="22"/>
        <v>0</v>
      </c>
      <c r="S61" s="281">
        <f t="shared" si="22"/>
        <v>55000</v>
      </c>
      <c r="T61" s="281">
        <f t="shared" si="22"/>
        <v>65000</v>
      </c>
      <c r="U61" s="139">
        <f t="shared" si="12"/>
        <v>118.18181818181819</v>
      </c>
      <c r="V61" s="140">
        <f t="shared" si="10"/>
        <v>0.0015748386821154332</v>
      </c>
      <c r="W61" s="140">
        <f t="shared" si="11"/>
        <v>0.0019820098152785147</v>
      </c>
    </row>
    <row r="62" spans="1:23" ht="20.25" customHeight="1">
      <c r="A62" s="24"/>
      <c r="B62" s="11" t="s">
        <v>94</v>
      </c>
      <c r="C62" s="33"/>
      <c r="D62" s="33"/>
      <c r="E62" s="18" t="s">
        <v>306</v>
      </c>
      <c r="F62" s="5">
        <v>90000</v>
      </c>
      <c r="G62" s="123">
        <v>100000</v>
      </c>
      <c r="H62" s="121">
        <f t="shared" si="0"/>
        <v>111.11111111111111</v>
      </c>
      <c r="I62" s="6" t="e">
        <f>F62/F256</f>
        <v>#REF!</v>
      </c>
      <c r="J62" s="101"/>
      <c r="K62" s="8">
        <v>0</v>
      </c>
      <c r="L62" s="8">
        <v>0</v>
      </c>
      <c r="M62" s="8">
        <v>60000</v>
      </c>
      <c r="N62" s="8">
        <v>0</v>
      </c>
      <c r="O62" s="8">
        <v>0</v>
      </c>
      <c r="P62" s="212">
        <v>20000</v>
      </c>
      <c r="Q62" s="212">
        <v>0</v>
      </c>
      <c r="R62" s="212">
        <v>0</v>
      </c>
      <c r="S62" s="212">
        <v>55000</v>
      </c>
      <c r="T62" s="8">
        <v>65000</v>
      </c>
      <c r="U62" s="132">
        <f t="shared" si="12"/>
        <v>118.18181818181819</v>
      </c>
      <c r="V62" s="133">
        <f t="shared" si="10"/>
        <v>0.0015748386821154332</v>
      </c>
      <c r="W62" s="133">
        <f t="shared" si="11"/>
        <v>0.0019820098152785147</v>
      </c>
    </row>
    <row r="63" spans="1:23" ht="26.25" customHeight="1" hidden="1">
      <c r="A63" s="328" t="s">
        <v>96</v>
      </c>
      <c r="B63" s="329" t="s">
        <v>133</v>
      </c>
      <c r="C63" s="330"/>
      <c r="D63" s="330">
        <v>75809</v>
      </c>
      <c r="E63" s="330"/>
      <c r="F63" s="331">
        <f>F64+F65</f>
        <v>0</v>
      </c>
      <c r="G63" s="332">
        <f>G64+G65</f>
        <v>0</v>
      </c>
      <c r="H63" s="311">
        <f t="shared" si="0"/>
      </c>
      <c r="I63" s="327" t="e">
        <f>F63/F256</f>
        <v>#REF!</v>
      </c>
      <c r="K63" s="40"/>
      <c r="L63" s="40"/>
      <c r="M63" s="40"/>
      <c r="N63" s="40"/>
      <c r="O63" s="40"/>
      <c r="P63" s="83"/>
      <c r="Q63" s="83"/>
      <c r="R63" s="83"/>
      <c r="S63" s="83"/>
      <c r="T63" s="40"/>
      <c r="U63" s="468" t="e">
        <f t="shared" si="12"/>
        <v>#DIV/0!</v>
      </c>
      <c r="V63" s="435">
        <f t="shared" si="10"/>
        <v>0</v>
      </c>
      <c r="W63" s="435">
        <f t="shared" si="11"/>
        <v>0</v>
      </c>
    </row>
    <row r="64" spans="1:23" ht="52.5" customHeight="1" hidden="1">
      <c r="A64" s="48"/>
      <c r="B64" s="86" t="s">
        <v>134</v>
      </c>
      <c r="C64" s="127"/>
      <c r="D64" s="127"/>
      <c r="E64" s="127">
        <v>271</v>
      </c>
      <c r="F64" s="105">
        <v>0</v>
      </c>
      <c r="G64" s="129">
        <v>0</v>
      </c>
      <c r="H64" s="121">
        <f t="shared" si="0"/>
      </c>
      <c r="I64" s="130" t="e">
        <f>F64/F256</f>
        <v>#REF!</v>
      </c>
      <c r="K64" s="8"/>
      <c r="L64" s="8"/>
      <c r="M64" s="8"/>
      <c r="N64" s="8"/>
      <c r="O64" s="8"/>
      <c r="P64" s="212"/>
      <c r="Q64" s="212"/>
      <c r="R64" s="212"/>
      <c r="S64" s="212"/>
      <c r="T64" s="8"/>
      <c r="U64" s="132" t="e">
        <f t="shared" si="12"/>
        <v>#DIV/0!</v>
      </c>
      <c r="V64" s="133">
        <f t="shared" si="10"/>
        <v>0</v>
      </c>
      <c r="W64" s="133">
        <f t="shared" si="11"/>
        <v>0</v>
      </c>
    </row>
    <row r="65" spans="1:23" ht="63.75" customHeight="1" hidden="1">
      <c r="A65" s="48"/>
      <c r="B65" s="86" t="s">
        <v>135</v>
      </c>
      <c r="C65" s="127"/>
      <c r="D65" s="127"/>
      <c r="E65" s="127">
        <v>630</v>
      </c>
      <c r="F65" s="105">
        <v>0</v>
      </c>
      <c r="G65" s="129">
        <v>0</v>
      </c>
      <c r="H65" s="121">
        <f t="shared" si="0"/>
      </c>
      <c r="I65" s="130" t="e">
        <f>F65/F256</f>
        <v>#REF!</v>
      </c>
      <c r="K65" s="8"/>
      <c r="L65" s="8"/>
      <c r="M65" s="8"/>
      <c r="N65" s="8"/>
      <c r="O65" s="8"/>
      <c r="P65" s="212"/>
      <c r="Q65" s="212"/>
      <c r="R65" s="212"/>
      <c r="S65" s="212"/>
      <c r="T65" s="8"/>
      <c r="U65" s="132" t="e">
        <f t="shared" si="12"/>
        <v>#DIV/0!</v>
      </c>
      <c r="V65" s="133">
        <f t="shared" si="10"/>
        <v>0</v>
      </c>
      <c r="W65" s="133">
        <f t="shared" si="11"/>
        <v>0</v>
      </c>
    </row>
    <row r="66" spans="1:23" ht="18" customHeight="1">
      <c r="A66" s="19">
        <v>7</v>
      </c>
      <c r="B66" s="124" t="s">
        <v>136</v>
      </c>
      <c r="C66" s="27" t="s">
        <v>617</v>
      </c>
      <c r="D66" s="18"/>
      <c r="E66" s="18"/>
      <c r="F66" s="5" t="e">
        <f>F67+F81</f>
        <v>#REF!</v>
      </c>
      <c r="G66" s="122" t="e">
        <f>G67+G81+G74+G87</f>
        <v>#REF!</v>
      </c>
      <c r="H66" s="115" t="e">
        <f t="shared" si="0"/>
        <v>#REF!</v>
      </c>
      <c r="I66" s="10" t="e">
        <f>F66/F256</f>
        <v>#REF!</v>
      </c>
      <c r="J66" s="37"/>
      <c r="K66" s="7" t="e">
        <f>K67+K81+K74+K87</f>
        <v>#REF!</v>
      </c>
      <c r="L66" s="7" t="e">
        <f>L67+L81+L74+L87</f>
        <v>#REF!</v>
      </c>
      <c r="M66" s="7" t="e">
        <f>M67+M74+M81+M87</f>
        <v>#REF!</v>
      </c>
      <c r="N66" s="7" t="e">
        <f>N67+N74+N87</f>
        <v>#REF!</v>
      </c>
      <c r="O66" s="7" t="e">
        <f>O67+O74+O87</f>
        <v>#REF!</v>
      </c>
      <c r="P66" s="271">
        <f>P67+P74+P87+P92</f>
        <v>282149</v>
      </c>
      <c r="Q66" s="271">
        <f>Q67+Q74+Q87+Q92</f>
        <v>44118</v>
      </c>
      <c r="R66" s="271">
        <f>R67+R74+R87+R92</f>
        <v>4387</v>
      </c>
      <c r="S66" s="271">
        <f>S67+S74</f>
        <v>116440</v>
      </c>
      <c r="T66" s="271">
        <f>T67+T74</f>
        <v>136702</v>
      </c>
      <c r="U66" s="132">
        <f t="shared" si="12"/>
        <v>117.40123668842321</v>
      </c>
      <c r="V66" s="133">
        <f aca="true" t="shared" si="23" ref="V66:V96">S66/$S$256</f>
        <v>0.003334076657191292</v>
      </c>
      <c r="W66" s="133">
        <f t="shared" si="11"/>
        <v>0.004168380088741592</v>
      </c>
    </row>
    <row r="67" spans="1:23" ht="16.5" customHeight="1">
      <c r="A67" s="19" t="s">
        <v>85</v>
      </c>
      <c r="B67" s="7" t="s">
        <v>633</v>
      </c>
      <c r="C67" s="27"/>
      <c r="D67" s="27" t="s">
        <v>632</v>
      </c>
      <c r="E67" s="27"/>
      <c r="F67" s="9" t="e">
        <f>F68+F69+#REF!+F70</f>
        <v>#REF!</v>
      </c>
      <c r="G67" s="122" t="e">
        <f>G68+G69+#REF!+G70</f>
        <v>#REF!</v>
      </c>
      <c r="H67" s="115" t="e">
        <f t="shared" si="0"/>
        <v>#REF!</v>
      </c>
      <c r="I67" s="10" t="e">
        <f>F67/F256</f>
        <v>#REF!</v>
      </c>
      <c r="J67" s="37"/>
      <c r="K67" s="7" t="e">
        <f>K68+K69+#REF!+K70</f>
        <v>#REF!</v>
      </c>
      <c r="L67" s="7" t="e">
        <f>L68+L69+#REF!+L70</f>
        <v>#REF!</v>
      </c>
      <c r="M67" s="7" t="e">
        <f>M68+M69+#REF!+M70+M71</f>
        <v>#REF!</v>
      </c>
      <c r="N67" s="7" t="e">
        <f>N68+N69+#REF!+N70+N71</f>
        <v>#REF!</v>
      </c>
      <c r="O67" s="7" t="e">
        <f>O68+O69+#REF!+O70+O71</f>
        <v>#REF!</v>
      </c>
      <c r="P67" s="272">
        <f>P68+P69+P70+P71</f>
        <v>30000</v>
      </c>
      <c r="Q67" s="272">
        <f>Q68+Q69+Q70+Q71</f>
        <v>0</v>
      </c>
      <c r="R67" s="272">
        <f>R68+R69+R70+R71</f>
        <v>4387</v>
      </c>
      <c r="S67" s="272">
        <f>S68+S69+S72+S73</f>
        <v>15914</v>
      </c>
      <c r="T67" s="272">
        <f>T68+T69+T72</f>
        <v>17400</v>
      </c>
      <c r="U67" s="132">
        <f t="shared" si="12"/>
        <v>109.33769008420259</v>
      </c>
      <c r="V67" s="133">
        <f t="shared" si="23"/>
        <v>0.00045567241431245463</v>
      </c>
      <c r="W67" s="133">
        <f t="shared" si="11"/>
        <v>0.0005305687813207101</v>
      </c>
    </row>
    <row r="68" spans="1:23" ht="16.5" customHeight="1">
      <c r="A68" s="24"/>
      <c r="B68" s="8" t="s">
        <v>98</v>
      </c>
      <c r="C68" s="18"/>
      <c r="D68" s="18"/>
      <c r="E68" s="18" t="s">
        <v>307</v>
      </c>
      <c r="F68" s="5">
        <v>490</v>
      </c>
      <c r="G68" s="123">
        <v>500</v>
      </c>
      <c r="H68" s="121">
        <f t="shared" si="0"/>
        <v>102.04081632653062</v>
      </c>
      <c r="I68" s="6" t="e">
        <f>F68/F256</f>
        <v>#REF!</v>
      </c>
      <c r="K68" s="8">
        <v>0</v>
      </c>
      <c r="L68" s="8">
        <v>0</v>
      </c>
      <c r="M68" s="8">
        <v>450</v>
      </c>
      <c r="N68" s="8">
        <v>0</v>
      </c>
      <c r="O68" s="8">
        <v>0</v>
      </c>
      <c r="P68" s="212">
        <v>600</v>
      </c>
      <c r="Q68" s="212">
        <v>0</v>
      </c>
      <c r="R68" s="212">
        <v>0</v>
      </c>
      <c r="S68" s="212">
        <v>350</v>
      </c>
      <c r="T68" s="8">
        <v>400</v>
      </c>
      <c r="U68" s="132">
        <f t="shared" si="12"/>
        <v>114.28571428571428</v>
      </c>
      <c r="V68" s="133">
        <f t="shared" si="23"/>
        <v>1.002170070437094E-05</v>
      </c>
      <c r="W68" s="133">
        <f t="shared" si="11"/>
        <v>1.2196983478637014E-05</v>
      </c>
    </row>
    <row r="69" spans="1:23" ht="23.25" customHeight="1">
      <c r="A69" s="24"/>
      <c r="B69" s="249" t="s">
        <v>387</v>
      </c>
      <c r="C69" s="18"/>
      <c r="D69" s="18"/>
      <c r="E69" s="18" t="s">
        <v>308</v>
      </c>
      <c r="F69" s="5">
        <v>41300</v>
      </c>
      <c r="G69" s="123">
        <v>53461</v>
      </c>
      <c r="H69" s="121">
        <f t="shared" si="0"/>
        <v>129.4455205811138</v>
      </c>
      <c r="I69" s="6" t="e">
        <f>F69/F256</f>
        <v>#REF!</v>
      </c>
      <c r="K69" s="8">
        <v>0</v>
      </c>
      <c r="L69" s="8">
        <v>0</v>
      </c>
      <c r="M69" s="8">
        <v>39124</v>
      </c>
      <c r="N69" s="8">
        <v>0</v>
      </c>
      <c r="O69" s="8">
        <v>0</v>
      </c>
      <c r="P69" s="212">
        <v>29000</v>
      </c>
      <c r="Q69" s="212">
        <v>0</v>
      </c>
      <c r="R69" s="212">
        <v>4000</v>
      </c>
      <c r="S69" s="212">
        <v>15344</v>
      </c>
      <c r="T69" s="8">
        <v>17000</v>
      </c>
      <c r="U69" s="132">
        <f t="shared" si="12"/>
        <v>110.7924921793535</v>
      </c>
      <c r="V69" s="133">
        <f t="shared" si="23"/>
        <v>0.00043935135887962197</v>
      </c>
      <c r="W69" s="133">
        <f t="shared" si="11"/>
        <v>0.0005183717978420731</v>
      </c>
    </row>
    <row r="70" spans="1:23" ht="17.25" customHeight="1" hidden="1">
      <c r="A70" s="24"/>
      <c r="B70" s="11" t="s">
        <v>94</v>
      </c>
      <c r="C70" s="18"/>
      <c r="D70" s="18"/>
      <c r="E70" s="18" t="s">
        <v>306</v>
      </c>
      <c r="F70" s="5">
        <v>9420</v>
      </c>
      <c r="G70" s="123">
        <v>8420</v>
      </c>
      <c r="H70" s="121">
        <f t="shared" si="0"/>
        <v>89.38428874734608</v>
      </c>
      <c r="I70" s="6" t="e">
        <f>F70/F256</f>
        <v>#REF!</v>
      </c>
      <c r="K70" s="8">
        <v>0</v>
      </c>
      <c r="L70" s="8">
        <v>0</v>
      </c>
      <c r="M70" s="8">
        <v>220</v>
      </c>
      <c r="N70" s="8">
        <v>0</v>
      </c>
      <c r="O70" s="8">
        <v>0</v>
      </c>
      <c r="P70" s="212">
        <v>400</v>
      </c>
      <c r="Q70" s="212">
        <v>0</v>
      </c>
      <c r="R70" s="212">
        <v>387</v>
      </c>
      <c r="S70" s="212">
        <v>0</v>
      </c>
      <c r="T70" s="8">
        <v>0</v>
      </c>
      <c r="U70" s="132" t="e">
        <f t="shared" si="12"/>
        <v>#DIV/0!</v>
      </c>
      <c r="V70" s="133">
        <f t="shared" si="23"/>
        <v>0</v>
      </c>
      <c r="W70" s="133">
        <f t="shared" si="11"/>
        <v>0</v>
      </c>
    </row>
    <row r="71" spans="1:23" ht="18.75" customHeight="1" hidden="1">
      <c r="A71" s="24"/>
      <c r="B71" s="11" t="s">
        <v>127</v>
      </c>
      <c r="C71" s="18"/>
      <c r="D71" s="18"/>
      <c r="E71" s="18" t="s">
        <v>107</v>
      </c>
      <c r="F71" s="5"/>
      <c r="G71" s="123"/>
      <c r="H71" s="121"/>
      <c r="I71" s="6"/>
      <c r="K71" s="8"/>
      <c r="L71" s="8"/>
      <c r="M71" s="8">
        <v>1732</v>
      </c>
      <c r="N71" s="8">
        <v>0</v>
      </c>
      <c r="O71" s="8">
        <v>0</v>
      </c>
      <c r="P71" s="212">
        <v>0</v>
      </c>
      <c r="Q71" s="212">
        <v>0</v>
      </c>
      <c r="R71" s="212">
        <v>0</v>
      </c>
      <c r="S71" s="212"/>
      <c r="T71" s="8"/>
      <c r="U71" s="132" t="e">
        <f t="shared" si="12"/>
        <v>#DIV/0!</v>
      </c>
      <c r="V71" s="133">
        <f t="shared" si="23"/>
        <v>0</v>
      </c>
      <c r="W71" s="133">
        <f t="shared" si="11"/>
        <v>0</v>
      </c>
    </row>
    <row r="72" spans="1:23" ht="13.5" customHeight="1">
      <c r="A72" s="24"/>
      <c r="B72" s="11" t="s">
        <v>104</v>
      </c>
      <c r="C72" s="18"/>
      <c r="D72" s="18"/>
      <c r="E72" s="18" t="s">
        <v>309</v>
      </c>
      <c r="F72" s="5"/>
      <c r="G72" s="123"/>
      <c r="H72" s="121"/>
      <c r="I72" s="6"/>
      <c r="K72" s="8"/>
      <c r="L72" s="8"/>
      <c r="M72" s="8"/>
      <c r="N72" s="8"/>
      <c r="O72" s="8"/>
      <c r="P72" s="212"/>
      <c r="Q72" s="212"/>
      <c r="R72" s="212"/>
      <c r="S72" s="212">
        <v>120</v>
      </c>
      <c r="T72" s="212">
        <v>0</v>
      </c>
      <c r="U72" s="132">
        <f>T72/S72*100</f>
        <v>0</v>
      </c>
      <c r="V72" s="133">
        <f t="shared" si="23"/>
        <v>3.436011670070036E-06</v>
      </c>
      <c r="W72" s="133">
        <f t="shared" si="11"/>
        <v>0</v>
      </c>
    </row>
    <row r="73" spans="1:23" ht="15.75" customHeight="1">
      <c r="A73" s="24"/>
      <c r="B73" s="11" t="s">
        <v>94</v>
      </c>
      <c r="C73" s="18"/>
      <c r="D73" s="18"/>
      <c r="E73" s="18" t="s">
        <v>306</v>
      </c>
      <c r="F73" s="5"/>
      <c r="G73" s="123"/>
      <c r="H73" s="121"/>
      <c r="I73" s="6"/>
      <c r="K73" s="8"/>
      <c r="L73" s="8"/>
      <c r="M73" s="8"/>
      <c r="N73" s="8"/>
      <c r="O73" s="8"/>
      <c r="P73" s="212"/>
      <c r="Q73" s="212"/>
      <c r="R73" s="212"/>
      <c r="S73" s="212">
        <v>100</v>
      </c>
      <c r="T73" s="212">
        <v>430</v>
      </c>
      <c r="U73" s="132">
        <f>T73/S73*100</f>
        <v>430</v>
      </c>
      <c r="V73" s="133">
        <f t="shared" si="23"/>
        <v>2.8633430583916967E-06</v>
      </c>
      <c r="W73" s="133"/>
    </row>
    <row r="74" spans="1:23" ht="18.75" customHeight="1">
      <c r="A74" s="19" t="s">
        <v>96</v>
      </c>
      <c r="B74" s="4" t="s">
        <v>643</v>
      </c>
      <c r="C74" s="27"/>
      <c r="D74" s="27" t="s">
        <v>642</v>
      </c>
      <c r="E74" s="27"/>
      <c r="F74" s="9"/>
      <c r="G74" s="122">
        <f>G75+G76+G77+G78+G79+G80</f>
        <v>302185</v>
      </c>
      <c r="H74" s="115"/>
      <c r="I74" s="10"/>
      <c r="J74" s="37"/>
      <c r="K74" s="7">
        <f aca="true" t="shared" si="24" ref="K74:P74">K75+K76+K77+K78+K79+K80</f>
        <v>0</v>
      </c>
      <c r="L74" s="7">
        <f t="shared" si="24"/>
        <v>0</v>
      </c>
      <c r="M74" s="7">
        <f t="shared" si="24"/>
        <v>159655</v>
      </c>
      <c r="N74" s="7">
        <f t="shared" si="24"/>
        <v>0</v>
      </c>
      <c r="O74" s="7">
        <f t="shared" si="24"/>
        <v>0</v>
      </c>
      <c r="P74" s="271">
        <f t="shared" si="24"/>
        <v>252149</v>
      </c>
      <c r="Q74" s="271">
        <f>Q75+Q76+Q77+Q78+Q79+Q80</f>
        <v>0</v>
      </c>
      <c r="R74" s="271">
        <f>R75+R76+R77+R78+R79+R80</f>
        <v>0</v>
      </c>
      <c r="S74" s="271">
        <f>S75+S76+S77+S78+S79+S80</f>
        <v>100526</v>
      </c>
      <c r="T74" s="271">
        <f>T75+T76+T77+T78+T79+T80</f>
        <v>119302</v>
      </c>
      <c r="U74" s="132">
        <f>T74/S74*100</f>
        <v>118.67775500865447</v>
      </c>
      <c r="V74" s="133">
        <f t="shared" si="23"/>
        <v>0.002878404242878837</v>
      </c>
      <c r="W74" s="133">
        <f aca="true" t="shared" si="25" ref="W74:W95">T74/$T$256</f>
        <v>0.0036378113074208825</v>
      </c>
    </row>
    <row r="75" spans="1:23" ht="18.75" customHeight="1">
      <c r="A75" s="24"/>
      <c r="B75" s="8" t="s">
        <v>98</v>
      </c>
      <c r="C75" s="18"/>
      <c r="D75" s="18"/>
      <c r="E75" s="18" t="s">
        <v>307</v>
      </c>
      <c r="F75" s="5"/>
      <c r="G75" s="123">
        <v>330</v>
      </c>
      <c r="H75" s="121"/>
      <c r="I75" s="6"/>
      <c r="K75" s="8">
        <v>0</v>
      </c>
      <c r="L75" s="8"/>
      <c r="M75" s="8">
        <v>0</v>
      </c>
      <c r="N75" s="8">
        <v>0</v>
      </c>
      <c r="O75" s="8">
        <v>0</v>
      </c>
      <c r="P75" s="212">
        <v>300</v>
      </c>
      <c r="Q75" s="212">
        <v>0</v>
      </c>
      <c r="R75" s="212">
        <v>0</v>
      </c>
      <c r="S75" s="212">
        <v>0</v>
      </c>
      <c r="T75" s="8">
        <v>300</v>
      </c>
      <c r="U75" s="132"/>
      <c r="V75" s="133">
        <f t="shared" si="23"/>
        <v>0</v>
      </c>
      <c r="W75" s="133">
        <f t="shared" si="25"/>
        <v>9.147737608977761E-06</v>
      </c>
    </row>
    <row r="76" spans="1:23" ht="23.25" customHeight="1">
      <c r="A76" s="24"/>
      <c r="B76" s="249" t="s">
        <v>387</v>
      </c>
      <c r="C76" s="18"/>
      <c r="D76" s="18"/>
      <c r="E76" s="18" t="s">
        <v>308</v>
      </c>
      <c r="F76" s="5"/>
      <c r="G76" s="123">
        <v>195458</v>
      </c>
      <c r="H76" s="121"/>
      <c r="I76" s="6"/>
      <c r="K76" s="8">
        <v>0</v>
      </c>
      <c r="L76" s="8">
        <v>0</v>
      </c>
      <c r="M76" s="8">
        <v>84152</v>
      </c>
      <c r="N76" s="8">
        <v>0</v>
      </c>
      <c r="O76" s="8">
        <v>0</v>
      </c>
      <c r="P76" s="212">
        <v>180558</v>
      </c>
      <c r="Q76" s="212">
        <v>0</v>
      </c>
      <c r="R76" s="212">
        <v>0</v>
      </c>
      <c r="S76" s="212">
        <v>37363</v>
      </c>
      <c r="T76" s="8">
        <v>57300</v>
      </c>
      <c r="U76" s="132">
        <f t="shared" si="12"/>
        <v>153.36027620908385</v>
      </c>
      <c r="V76" s="133">
        <f t="shared" si="23"/>
        <v>0.0010698308669068897</v>
      </c>
      <c r="W76" s="133">
        <f t="shared" si="25"/>
        <v>0.0017472178833147522</v>
      </c>
    </row>
    <row r="77" spans="1:23" ht="16.5" customHeight="1">
      <c r="A77" s="24"/>
      <c r="B77" s="11" t="s">
        <v>104</v>
      </c>
      <c r="C77" s="18"/>
      <c r="D77" s="18"/>
      <c r="E77" s="18" t="s">
        <v>309</v>
      </c>
      <c r="F77" s="5"/>
      <c r="G77" s="123">
        <v>92116</v>
      </c>
      <c r="H77" s="121"/>
      <c r="I77" s="6"/>
      <c r="K77" s="8">
        <v>0</v>
      </c>
      <c r="L77" s="8">
        <v>0</v>
      </c>
      <c r="M77" s="8">
        <v>69767</v>
      </c>
      <c r="N77" s="8">
        <v>0</v>
      </c>
      <c r="O77" s="8">
        <v>0</v>
      </c>
      <c r="P77" s="212">
        <v>68098</v>
      </c>
      <c r="Q77" s="212">
        <v>0</v>
      </c>
      <c r="R77" s="212">
        <v>0</v>
      </c>
      <c r="S77" s="212">
        <v>58524</v>
      </c>
      <c r="T77" s="8">
        <v>58087</v>
      </c>
      <c r="U77" s="132">
        <f t="shared" si="12"/>
        <v>99.25329779235868</v>
      </c>
      <c r="V77" s="133">
        <f t="shared" si="23"/>
        <v>0.0016757428914931567</v>
      </c>
      <c r="W77" s="133">
        <f t="shared" si="25"/>
        <v>0.0017712154483089705</v>
      </c>
    </row>
    <row r="78" spans="1:23" ht="15" customHeight="1">
      <c r="A78" s="24"/>
      <c r="B78" s="11" t="s">
        <v>762</v>
      </c>
      <c r="C78" s="18"/>
      <c r="D78" s="18"/>
      <c r="E78" s="18" t="s">
        <v>761</v>
      </c>
      <c r="F78" s="5"/>
      <c r="G78" s="123">
        <v>200</v>
      </c>
      <c r="H78" s="121"/>
      <c r="I78" s="6"/>
      <c r="K78" s="8">
        <v>0</v>
      </c>
      <c r="L78" s="8">
        <v>0</v>
      </c>
      <c r="M78" s="8">
        <v>200</v>
      </c>
      <c r="N78" s="8">
        <v>0</v>
      </c>
      <c r="O78" s="8">
        <v>0</v>
      </c>
      <c r="P78" s="212">
        <v>230</v>
      </c>
      <c r="Q78" s="212">
        <v>0</v>
      </c>
      <c r="R78" s="212">
        <v>0</v>
      </c>
      <c r="S78" s="212">
        <v>3997</v>
      </c>
      <c r="T78" s="8">
        <v>0</v>
      </c>
      <c r="U78" s="132">
        <v>0</v>
      </c>
      <c r="V78" s="133">
        <f t="shared" si="23"/>
        <v>0.00011444782204391613</v>
      </c>
      <c r="W78" s="133">
        <f t="shared" si="25"/>
        <v>0</v>
      </c>
    </row>
    <row r="79" spans="1:23" ht="15" customHeight="1">
      <c r="A79" s="24"/>
      <c r="B79" s="11" t="s">
        <v>94</v>
      </c>
      <c r="C79" s="18"/>
      <c r="D79" s="18"/>
      <c r="E79" s="18" t="s">
        <v>306</v>
      </c>
      <c r="F79" s="5"/>
      <c r="G79" s="123">
        <v>13881</v>
      </c>
      <c r="H79" s="121"/>
      <c r="I79" s="6"/>
      <c r="K79" s="8">
        <v>0</v>
      </c>
      <c r="L79" s="8">
        <v>0</v>
      </c>
      <c r="M79" s="8">
        <v>4650</v>
      </c>
      <c r="N79" s="8">
        <v>0</v>
      </c>
      <c r="O79" s="8">
        <v>0</v>
      </c>
      <c r="P79" s="212">
        <v>1270</v>
      </c>
      <c r="Q79" s="212">
        <v>0</v>
      </c>
      <c r="R79" s="212">
        <v>0</v>
      </c>
      <c r="S79" s="212">
        <v>100</v>
      </c>
      <c r="T79" s="8">
        <v>350</v>
      </c>
      <c r="U79" s="132">
        <v>0</v>
      </c>
      <c r="V79" s="133">
        <f t="shared" si="23"/>
        <v>2.8633430583916967E-06</v>
      </c>
      <c r="W79" s="133">
        <f t="shared" si="25"/>
        <v>1.0672360543807387E-05</v>
      </c>
    </row>
    <row r="80" spans="1:23" ht="14.25" customHeight="1">
      <c r="A80" s="24"/>
      <c r="B80" s="11" t="s">
        <v>127</v>
      </c>
      <c r="C80" s="18"/>
      <c r="D80" s="18"/>
      <c r="E80" s="18" t="s">
        <v>310</v>
      </c>
      <c r="F80" s="5"/>
      <c r="G80" s="123">
        <v>200</v>
      </c>
      <c r="H80" s="121"/>
      <c r="I80" s="6"/>
      <c r="K80" s="8">
        <v>0</v>
      </c>
      <c r="L80" s="8">
        <v>0</v>
      </c>
      <c r="M80" s="8">
        <v>886</v>
      </c>
      <c r="N80" s="8">
        <v>0</v>
      </c>
      <c r="O80" s="8">
        <v>0</v>
      </c>
      <c r="P80" s="212">
        <v>1693</v>
      </c>
      <c r="Q80" s="212">
        <v>0</v>
      </c>
      <c r="R80" s="212">
        <v>0</v>
      </c>
      <c r="S80" s="212">
        <v>542</v>
      </c>
      <c r="T80" s="8">
        <v>3265</v>
      </c>
      <c r="U80" s="132">
        <f t="shared" si="12"/>
        <v>602.3985239852398</v>
      </c>
      <c r="V80" s="133">
        <f t="shared" si="23"/>
        <v>1.5519319376482998E-05</v>
      </c>
      <c r="W80" s="133">
        <f t="shared" si="25"/>
        <v>9.955787764437462E-05</v>
      </c>
    </row>
    <row r="81" spans="1:23" ht="18" customHeight="1" hidden="1">
      <c r="A81" s="19" t="s">
        <v>139</v>
      </c>
      <c r="B81" s="7" t="s">
        <v>648</v>
      </c>
      <c r="C81" s="27"/>
      <c r="D81" s="27" t="s">
        <v>647</v>
      </c>
      <c r="E81" s="27"/>
      <c r="F81" s="9">
        <f>F82+F83+F84+F85+F86</f>
        <v>456020</v>
      </c>
      <c r="G81" s="122">
        <f>G82+G83+G84+G85+G86</f>
        <v>206807</v>
      </c>
      <c r="H81" s="115">
        <f t="shared" si="0"/>
        <v>45.350423227051444</v>
      </c>
      <c r="I81" s="10" t="e">
        <f>F81/F256</f>
        <v>#REF!</v>
      </c>
      <c r="J81" s="37"/>
      <c r="K81" s="7">
        <f>K82+K83+K84+K85+K86</f>
        <v>0</v>
      </c>
      <c r="L81" s="7">
        <f>L82+L83+L84+L85+L86</f>
        <v>0</v>
      </c>
      <c r="M81" s="7">
        <f>M82+M83+M84+M85+M86</f>
        <v>0</v>
      </c>
      <c r="N81" s="7"/>
      <c r="O81" s="7"/>
      <c r="P81" s="212"/>
      <c r="Q81" s="212"/>
      <c r="R81" s="212"/>
      <c r="S81" s="212"/>
      <c r="T81" s="8"/>
      <c r="U81" s="132" t="e">
        <f t="shared" si="12"/>
        <v>#DIV/0!</v>
      </c>
      <c r="V81" s="133">
        <f t="shared" si="23"/>
        <v>0</v>
      </c>
      <c r="W81" s="133">
        <f t="shared" si="25"/>
        <v>0</v>
      </c>
    </row>
    <row r="82" spans="1:23" ht="15" customHeight="1" hidden="1">
      <c r="A82" s="24"/>
      <c r="B82" s="8" t="s">
        <v>98</v>
      </c>
      <c r="C82" s="18"/>
      <c r="D82" s="18"/>
      <c r="E82" s="18" t="s">
        <v>99</v>
      </c>
      <c r="F82" s="5">
        <v>0</v>
      </c>
      <c r="G82" s="123">
        <v>0</v>
      </c>
      <c r="H82" s="121">
        <f t="shared" si="0"/>
      </c>
      <c r="I82" s="6" t="e">
        <f>F82/F256</f>
        <v>#REF!</v>
      </c>
      <c r="K82" s="8">
        <v>0</v>
      </c>
      <c r="L82" s="8">
        <v>0</v>
      </c>
      <c r="M82" s="8">
        <v>0</v>
      </c>
      <c r="N82" s="8"/>
      <c r="O82" s="8"/>
      <c r="P82" s="212"/>
      <c r="Q82" s="212"/>
      <c r="R82" s="212"/>
      <c r="S82" s="212"/>
      <c r="T82" s="8"/>
      <c r="U82" s="132" t="e">
        <f t="shared" si="12"/>
        <v>#DIV/0!</v>
      </c>
      <c r="V82" s="133">
        <f t="shared" si="23"/>
        <v>0</v>
      </c>
      <c r="W82" s="133">
        <f t="shared" si="25"/>
        <v>0</v>
      </c>
    </row>
    <row r="83" spans="1:23" ht="54" customHeight="1" hidden="1">
      <c r="A83" s="24"/>
      <c r="B83" s="11" t="s">
        <v>137</v>
      </c>
      <c r="C83" s="18"/>
      <c r="D83" s="18"/>
      <c r="E83" s="18" t="s">
        <v>103</v>
      </c>
      <c r="F83" s="5">
        <v>310332</v>
      </c>
      <c r="G83" s="123">
        <v>110706</v>
      </c>
      <c r="H83" s="121">
        <f t="shared" si="0"/>
        <v>35.67340783419048</v>
      </c>
      <c r="I83" s="6" t="e">
        <f>F83/F256</f>
        <v>#REF!</v>
      </c>
      <c r="K83" s="8">
        <v>0</v>
      </c>
      <c r="L83" s="8">
        <v>0</v>
      </c>
      <c r="M83" s="8">
        <v>0</v>
      </c>
      <c r="N83" s="8"/>
      <c r="O83" s="8"/>
      <c r="P83" s="212"/>
      <c r="Q83" s="212"/>
      <c r="R83" s="212"/>
      <c r="S83" s="212"/>
      <c r="T83" s="8"/>
      <c r="U83" s="132" t="e">
        <f t="shared" si="12"/>
        <v>#DIV/0!</v>
      </c>
      <c r="V83" s="133">
        <f t="shared" si="23"/>
        <v>0</v>
      </c>
      <c r="W83" s="133">
        <f t="shared" si="25"/>
        <v>0</v>
      </c>
    </row>
    <row r="84" spans="1:23" ht="18" customHeight="1" hidden="1">
      <c r="A84" s="24"/>
      <c r="B84" s="11" t="s">
        <v>104</v>
      </c>
      <c r="C84" s="18"/>
      <c r="D84" s="18"/>
      <c r="E84" s="18" t="s">
        <v>105</v>
      </c>
      <c r="F84" s="5">
        <v>132288</v>
      </c>
      <c r="G84" s="123">
        <v>89905</v>
      </c>
      <c r="H84" s="121">
        <f t="shared" si="0"/>
        <v>67.96156869859699</v>
      </c>
      <c r="I84" s="6" t="e">
        <f>F84/F256</f>
        <v>#REF!</v>
      </c>
      <c r="K84" s="8">
        <v>0</v>
      </c>
      <c r="L84" s="8">
        <v>0</v>
      </c>
      <c r="M84" s="8">
        <v>0</v>
      </c>
      <c r="N84" s="8"/>
      <c r="O84" s="8"/>
      <c r="P84" s="212"/>
      <c r="Q84" s="212"/>
      <c r="R84" s="212"/>
      <c r="S84" s="212"/>
      <c r="T84" s="8"/>
      <c r="U84" s="132" t="e">
        <f t="shared" si="12"/>
        <v>#DIV/0!</v>
      </c>
      <c r="V84" s="133">
        <f t="shared" si="23"/>
        <v>0</v>
      </c>
      <c r="W84" s="133">
        <f t="shared" si="25"/>
        <v>0</v>
      </c>
    </row>
    <row r="85" spans="1:23" ht="30" customHeight="1" hidden="1">
      <c r="A85" s="24"/>
      <c r="B85" s="11" t="s">
        <v>110</v>
      </c>
      <c r="C85" s="18"/>
      <c r="D85" s="18"/>
      <c r="E85" s="18" t="s">
        <v>111</v>
      </c>
      <c r="F85" s="5">
        <v>400</v>
      </c>
      <c r="G85" s="123">
        <v>317</v>
      </c>
      <c r="H85" s="121">
        <f t="shared" si="0"/>
        <v>79.25</v>
      </c>
      <c r="I85" s="6" t="e">
        <f>F85/F256</f>
        <v>#REF!</v>
      </c>
      <c r="K85" s="8">
        <v>0</v>
      </c>
      <c r="L85" s="8">
        <v>0</v>
      </c>
      <c r="M85" s="8">
        <v>0</v>
      </c>
      <c r="N85" s="8"/>
      <c r="O85" s="8"/>
      <c r="P85" s="212"/>
      <c r="Q85" s="212"/>
      <c r="R85" s="212"/>
      <c r="S85" s="212"/>
      <c r="T85" s="8"/>
      <c r="U85" s="132" t="e">
        <f t="shared" si="12"/>
        <v>#DIV/0!</v>
      </c>
      <c r="V85" s="133">
        <f t="shared" si="23"/>
        <v>0</v>
      </c>
      <c r="W85" s="133">
        <f t="shared" si="25"/>
        <v>0</v>
      </c>
    </row>
    <row r="86" spans="1:23" ht="20.25" customHeight="1" hidden="1">
      <c r="A86" s="24"/>
      <c r="B86" s="11" t="s">
        <v>94</v>
      </c>
      <c r="C86" s="18"/>
      <c r="D86" s="18"/>
      <c r="E86" s="18" t="s">
        <v>95</v>
      </c>
      <c r="F86" s="5">
        <v>13000</v>
      </c>
      <c r="G86" s="123">
        <v>5879</v>
      </c>
      <c r="H86" s="121">
        <f t="shared" si="0"/>
        <v>45.223076923076924</v>
      </c>
      <c r="I86" s="6" t="e">
        <f>F86/F256</f>
        <v>#REF!</v>
      </c>
      <c r="K86" s="8">
        <v>0</v>
      </c>
      <c r="L86" s="8">
        <v>0</v>
      </c>
      <c r="M86" s="8">
        <v>0</v>
      </c>
      <c r="N86" s="8"/>
      <c r="O86" s="8"/>
      <c r="P86" s="212"/>
      <c r="Q86" s="212"/>
      <c r="R86" s="212"/>
      <c r="S86" s="212"/>
      <c r="T86" s="8"/>
      <c r="U86" s="132" t="e">
        <f t="shared" si="12"/>
        <v>#DIV/0!</v>
      </c>
      <c r="V86" s="133">
        <f t="shared" si="23"/>
        <v>0</v>
      </c>
      <c r="W86" s="133">
        <f t="shared" si="25"/>
        <v>0</v>
      </c>
    </row>
    <row r="87" spans="1:23" ht="20.25" customHeight="1" hidden="1">
      <c r="A87" s="19" t="s">
        <v>139</v>
      </c>
      <c r="B87" s="4" t="s">
        <v>556</v>
      </c>
      <c r="C87" s="27"/>
      <c r="D87" s="27" t="s">
        <v>677</v>
      </c>
      <c r="E87" s="27"/>
      <c r="F87" s="9"/>
      <c r="G87" s="122">
        <f>G88</f>
        <v>92</v>
      </c>
      <c r="H87" s="115"/>
      <c r="I87" s="10"/>
      <c r="J87" s="37"/>
      <c r="K87" s="7">
        <f aca="true" t="shared" si="26" ref="K87:R87">K88</f>
        <v>0</v>
      </c>
      <c r="L87" s="7">
        <f t="shared" si="26"/>
        <v>0</v>
      </c>
      <c r="M87" s="7">
        <f t="shared" si="26"/>
        <v>387</v>
      </c>
      <c r="N87" s="7">
        <f t="shared" si="26"/>
        <v>0</v>
      </c>
      <c r="O87" s="7">
        <f t="shared" si="26"/>
        <v>0</v>
      </c>
      <c r="P87" s="271">
        <f t="shared" si="26"/>
        <v>0</v>
      </c>
      <c r="Q87" s="271">
        <f t="shared" si="26"/>
        <v>0</v>
      </c>
      <c r="R87" s="271">
        <f t="shared" si="26"/>
        <v>0</v>
      </c>
      <c r="S87" s="212"/>
      <c r="T87" s="8"/>
      <c r="U87" s="132" t="e">
        <f aca="true" t="shared" si="27" ref="U87:U155">T87/S87*100</f>
        <v>#DIV/0!</v>
      </c>
      <c r="V87" s="133">
        <f t="shared" si="23"/>
        <v>0</v>
      </c>
      <c r="W87" s="133">
        <f t="shared" si="25"/>
        <v>0</v>
      </c>
    </row>
    <row r="88" spans="1:23" ht="24" customHeight="1" hidden="1">
      <c r="A88" s="24"/>
      <c r="B88" s="11" t="s">
        <v>127</v>
      </c>
      <c r="C88" s="18"/>
      <c r="D88" s="18"/>
      <c r="E88" s="18" t="s">
        <v>107</v>
      </c>
      <c r="F88" s="5"/>
      <c r="G88" s="123">
        <v>92</v>
      </c>
      <c r="H88" s="121"/>
      <c r="I88" s="6"/>
      <c r="K88" s="8">
        <v>0</v>
      </c>
      <c r="L88" s="8">
        <v>0</v>
      </c>
      <c r="M88" s="8">
        <v>387</v>
      </c>
      <c r="N88" s="8">
        <v>0</v>
      </c>
      <c r="O88" s="8">
        <v>0</v>
      </c>
      <c r="P88" s="212">
        <v>0</v>
      </c>
      <c r="Q88" s="212">
        <v>0</v>
      </c>
      <c r="R88" s="212">
        <v>0</v>
      </c>
      <c r="S88" s="212"/>
      <c r="T88" s="8"/>
      <c r="U88" s="132" t="e">
        <f t="shared" si="27"/>
        <v>#DIV/0!</v>
      </c>
      <c r="V88" s="133">
        <f t="shared" si="23"/>
        <v>0</v>
      </c>
      <c r="W88" s="133">
        <f t="shared" si="25"/>
        <v>0</v>
      </c>
    </row>
    <row r="89" spans="1:23" ht="19.5" customHeight="1" hidden="1">
      <c r="A89" s="19" t="s">
        <v>74</v>
      </c>
      <c r="B89" s="124" t="s">
        <v>140</v>
      </c>
      <c r="C89" s="18" t="s">
        <v>678</v>
      </c>
      <c r="D89" s="18"/>
      <c r="E89" s="18"/>
      <c r="F89" s="5" t="e">
        <f>F92</f>
        <v>#REF!</v>
      </c>
      <c r="G89" s="122" t="e">
        <f>G92+G90</f>
        <v>#REF!</v>
      </c>
      <c r="H89" s="115" t="e">
        <f t="shared" si="0"/>
        <v>#REF!</v>
      </c>
      <c r="I89" s="10" t="e">
        <f>F89/F256</f>
        <v>#REF!</v>
      </c>
      <c r="J89" s="37"/>
      <c r="K89" s="7" t="e">
        <f>K92+K90</f>
        <v>#REF!</v>
      </c>
      <c r="L89" s="7" t="e">
        <f>L92+L90</f>
        <v>#REF!</v>
      </c>
      <c r="M89" s="7">
        <f aca="true" t="shared" si="28" ref="M89:R89">M90+M92</f>
        <v>25587</v>
      </c>
      <c r="N89" s="7">
        <f t="shared" si="28"/>
        <v>0</v>
      </c>
      <c r="O89" s="7">
        <f t="shared" si="28"/>
        <v>0</v>
      </c>
      <c r="P89" s="271">
        <f t="shared" si="28"/>
        <v>0</v>
      </c>
      <c r="Q89" s="271">
        <f t="shared" si="28"/>
        <v>44118</v>
      </c>
      <c r="R89" s="271">
        <f t="shared" si="28"/>
        <v>0</v>
      </c>
      <c r="S89" s="212"/>
      <c r="T89" s="8"/>
      <c r="U89" s="132" t="e">
        <f t="shared" si="27"/>
        <v>#DIV/0!</v>
      </c>
      <c r="V89" s="133">
        <f t="shared" si="23"/>
        <v>0</v>
      </c>
      <c r="W89" s="133">
        <f t="shared" si="25"/>
        <v>0</v>
      </c>
    </row>
    <row r="90" spans="1:23" ht="19.5" customHeight="1" hidden="1">
      <c r="A90" s="21" t="s">
        <v>85</v>
      </c>
      <c r="B90" s="20" t="s">
        <v>681</v>
      </c>
      <c r="C90" s="18"/>
      <c r="D90" s="27" t="s">
        <v>680</v>
      </c>
      <c r="E90" s="27"/>
      <c r="F90" s="9"/>
      <c r="G90" s="122">
        <f>G91</f>
        <v>239</v>
      </c>
      <c r="H90" s="115"/>
      <c r="I90" s="10"/>
      <c r="J90" s="37"/>
      <c r="K90" s="7">
        <f aca="true" t="shared" si="29" ref="K90:R90">K91</f>
        <v>0</v>
      </c>
      <c r="L90" s="7">
        <f t="shared" si="29"/>
        <v>0</v>
      </c>
      <c r="M90" s="7">
        <f t="shared" si="29"/>
        <v>25283</v>
      </c>
      <c r="N90" s="7">
        <f t="shared" si="29"/>
        <v>0</v>
      </c>
      <c r="O90" s="7">
        <f t="shared" si="29"/>
        <v>0</v>
      </c>
      <c r="P90" s="271">
        <f t="shared" si="29"/>
        <v>0</v>
      </c>
      <c r="Q90" s="271">
        <f t="shared" si="29"/>
        <v>0</v>
      </c>
      <c r="R90" s="271">
        <f t="shared" si="29"/>
        <v>0</v>
      </c>
      <c r="S90" s="212"/>
      <c r="T90" s="8"/>
      <c r="U90" s="132" t="e">
        <f t="shared" si="27"/>
        <v>#DIV/0!</v>
      </c>
      <c r="V90" s="133">
        <f t="shared" si="23"/>
        <v>0</v>
      </c>
      <c r="W90" s="133">
        <f t="shared" si="25"/>
        <v>0</v>
      </c>
    </row>
    <row r="91" spans="1:23" ht="27.75" customHeight="1" hidden="1">
      <c r="A91" s="19"/>
      <c r="B91" s="20" t="s">
        <v>127</v>
      </c>
      <c r="C91" s="18"/>
      <c r="D91" s="18"/>
      <c r="E91" s="18" t="s">
        <v>107</v>
      </c>
      <c r="F91" s="5"/>
      <c r="G91" s="131">
        <v>239</v>
      </c>
      <c r="H91" s="132"/>
      <c r="I91" s="133"/>
      <c r="J91" s="113"/>
      <c r="K91" s="20">
        <v>0</v>
      </c>
      <c r="L91" s="20">
        <v>0</v>
      </c>
      <c r="M91" s="8">
        <v>25283</v>
      </c>
      <c r="N91" s="8">
        <v>0</v>
      </c>
      <c r="O91" s="8">
        <v>0</v>
      </c>
      <c r="P91" s="212">
        <v>0</v>
      </c>
      <c r="Q91" s="212">
        <v>0</v>
      </c>
      <c r="R91" s="212">
        <v>0</v>
      </c>
      <c r="S91" s="212"/>
      <c r="T91" s="8"/>
      <c r="U91" s="132" t="e">
        <f t="shared" si="27"/>
        <v>#DIV/0!</v>
      </c>
      <c r="V91" s="133">
        <f t="shared" si="23"/>
        <v>0</v>
      </c>
      <c r="W91" s="133">
        <f t="shared" si="25"/>
        <v>0</v>
      </c>
    </row>
    <row r="92" spans="1:23" ht="14.25" customHeight="1" hidden="1">
      <c r="A92" s="24" t="s">
        <v>139</v>
      </c>
      <c r="B92" s="4" t="s">
        <v>568</v>
      </c>
      <c r="C92" s="27"/>
      <c r="D92" s="27" t="s">
        <v>567</v>
      </c>
      <c r="E92" s="27"/>
      <c r="F92" s="9" t="e">
        <f>#REF!+F93</f>
        <v>#REF!</v>
      </c>
      <c r="G92" s="122" t="e">
        <f>#REF!+G93</f>
        <v>#REF!</v>
      </c>
      <c r="H92" s="115" t="e">
        <f t="shared" si="0"/>
        <v>#REF!</v>
      </c>
      <c r="I92" s="10" t="e">
        <f>F92/F256</f>
        <v>#REF!</v>
      </c>
      <c r="J92" s="37"/>
      <c r="K92" s="7" t="e">
        <f>#REF!+K93</f>
        <v>#REF!</v>
      </c>
      <c r="L92" s="7" t="e">
        <f>#REF!+L93</f>
        <v>#REF!</v>
      </c>
      <c r="M92" s="7">
        <f aca="true" t="shared" si="30" ref="M92:T92">M93</f>
        <v>304</v>
      </c>
      <c r="N92" s="7">
        <f t="shared" si="30"/>
        <v>0</v>
      </c>
      <c r="O92" s="7">
        <f t="shared" si="30"/>
        <v>0</v>
      </c>
      <c r="P92" s="271">
        <f t="shared" si="30"/>
        <v>0</v>
      </c>
      <c r="Q92" s="271">
        <f t="shared" si="30"/>
        <v>44118</v>
      </c>
      <c r="R92" s="271">
        <f t="shared" si="30"/>
        <v>0</v>
      </c>
      <c r="S92" s="271">
        <f t="shared" si="30"/>
        <v>0</v>
      </c>
      <c r="T92" s="271">
        <f t="shared" si="30"/>
        <v>0</v>
      </c>
      <c r="U92" s="132" t="e">
        <f t="shared" si="27"/>
        <v>#DIV/0!</v>
      </c>
      <c r="V92" s="133">
        <f t="shared" si="23"/>
        <v>0</v>
      </c>
      <c r="W92" s="133">
        <f t="shared" si="25"/>
        <v>0</v>
      </c>
    </row>
    <row r="93" spans="1:23" ht="15.75" customHeight="1" hidden="1">
      <c r="A93" s="24"/>
      <c r="B93" s="11" t="s">
        <v>138</v>
      </c>
      <c r="C93" s="18"/>
      <c r="D93" s="18"/>
      <c r="E93" s="18" t="s">
        <v>310</v>
      </c>
      <c r="F93" s="5">
        <v>700</v>
      </c>
      <c r="G93" s="123">
        <v>700</v>
      </c>
      <c r="H93" s="121">
        <f t="shared" si="0"/>
        <v>100</v>
      </c>
      <c r="I93" s="6" t="e">
        <f>F93/F256</f>
        <v>#REF!</v>
      </c>
      <c r="K93" s="8"/>
      <c r="L93" s="8"/>
      <c r="M93" s="8">
        <v>304</v>
      </c>
      <c r="N93" s="8">
        <v>0</v>
      </c>
      <c r="O93" s="8">
        <v>0</v>
      </c>
      <c r="P93" s="212">
        <v>0</v>
      </c>
      <c r="Q93" s="212">
        <v>44118</v>
      </c>
      <c r="R93" s="212">
        <v>0</v>
      </c>
      <c r="S93" s="212">
        <v>0</v>
      </c>
      <c r="T93" s="8">
        <v>0</v>
      </c>
      <c r="U93" s="132" t="e">
        <f t="shared" si="27"/>
        <v>#DIV/0!</v>
      </c>
      <c r="V93" s="133">
        <f t="shared" si="23"/>
        <v>0</v>
      </c>
      <c r="W93" s="133">
        <f t="shared" si="25"/>
        <v>0</v>
      </c>
    </row>
    <row r="94" spans="1:23" ht="15" customHeight="1">
      <c r="A94" s="19">
        <v>8</v>
      </c>
      <c r="B94" s="4" t="s">
        <v>140</v>
      </c>
      <c r="C94" s="27" t="s">
        <v>678</v>
      </c>
      <c r="D94" s="27"/>
      <c r="E94" s="27"/>
      <c r="F94" s="9"/>
      <c r="G94" s="122"/>
      <c r="H94" s="115"/>
      <c r="I94" s="10"/>
      <c r="J94" s="37"/>
      <c r="K94" s="7"/>
      <c r="L94" s="7"/>
      <c r="M94" s="7"/>
      <c r="N94" s="7"/>
      <c r="O94" s="7"/>
      <c r="P94" s="272">
        <f>P95</f>
        <v>8070</v>
      </c>
      <c r="Q94" s="272">
        <f>Q95</f>
        <v>0</v>
      </c>
      <c r="R94" s="272">
        <f>R95</f>
        <v>0</v>
      </c>
      <c r="S94" s="272">
        <f>S95</f>
        <v>79645</v>
      </c>
      <c r="T94" s="272">
        <f>T95</f>
        <v>54120</v>
      </c>
      <c r="U94" s="132">
        <f t="shared" si="27"/>
        <v>67.95153493627974</v>
      </c>
      <c r="V94" s="133">
        <f t="shared" si="23"/>
        <v>0.002280509578856067</v>
      </c>
      <c r="W94" s="133">
        <f t="shared" si="25"/>
        <v>0.001650251864659588</v>
      </c>
    </row>
    <row r="95" spans="1:23" ht="16.5" customHeight="1">
      <c r="A95" s="19" t="s">
        <v>85</v>
      </c>
      <c r="B95" s="4" t="s">
        <v>681</v>
      </c>
      <c r="C95" s="18"/>
      <c r="D95" s="27" t="s">
        <v>680</v>
      </c>
      <c r="E95" s="27"/>
      <c r="F95" s="9"/>
      <c r="G95" s="122"/>
      <c r="H95" s="115"/>
      <c r="I95" s="10"/>
      <c r="J95" s="37"/>
      <c r="K95" s="7"/>
      <c r="L95" s="7"/>
      <c r="M95" s="7"/>
      <c r="N95" s="7"/>
      <c r="O95" s="7"/>
      <c r="P95" s="272">
        <f>P97</f>
        <v>8070</v>
      </c>
      <c r="Q95" s="272">
        <f>Q97</f>
        <v>0</v>
      </c>
      <c r="R95" s="272">
        <f>R97</f>
        <v>0</v>
      </c>
      <c r="S95" s="272">
        <f>S96+S97</f>
        <v>79645</v>
      </c>
      <c r="T95" s="272">
        <f>T97</f>
        <v>54120</v>
      </c>
      <c r="U95" s="132">
        <f t="shared" si="27"/>
        <v>67.95153493627974</v>
      </c>
      <c r="V95" s="133">
        <f t="shared" si="23"/>
        <v>0.002280509578856067</v>
      </c>
      <c r="W95" s="133">
        <f t="shared" si="25"/>
        <v>0.001650251864659588</v>
      </c>
    </row>
    <row r="96" spans="1:23" ht="25.5" customHeight="1">
      <c r="A96" s="19"/>
      <c r="B96" s="29" t="s">
        <v>916</v>
      </c>
      <c r="C96" s="18"/>
      <c r="D96" s="27"/>
      <c r="E96" s="31" t="s">
        <v>917</v>
      </c>
      <c r="F96" s="107"/>
      <c r="G96" s="131"/>
      <c r="H96" s="132"/>
      <c r="I96" s="133"/>
      <c r="J96" s="113"/>
      <c r="K96" s="20"/>
      <c r="L96" s="20"/>
      <c r="M96" s="20"/>
      <c r="N96" s="20"/>
      <c r="O96" s="20"/>
      <c r="P96" s="273"/>
      <c r="Q96" s="273"/>
      <c r="R96" s="273"/>
      <c r="S96" s="273">
        <v>55645</v>
      </c>
      <c r="T96" s="273">
        <v>0</v>
      </c>
      <c r="U96" s="132">
        <f t="shared" si="27"/>
        <v>0</v>
      </c>
      <c r="V96" s="133">
        <f t="shared" si="23"/>
        <v>0.0015933072448420598</v>
      </c>
      <c r="W96" s="133"/>
    </row>
    <row r="97" spans="1:23" ht="26.25" customHeight="1">
      <c r="A97" s="24"/>
      <c r="B97" s="11" t="s">
        <v>763</v>
      </c>
      <c r="C97" s="18"/>
      <c r="D97" s="18"/>
      <c r="E97" s="18" t="s">
        <v>308</v>
      </c>
      <c r="F97" s="5"/>
      <c r="G97" s="123"/>
      <c r="H97" s="121"/>
      <c r="I97" s="6"/>
      <c r="K97" s="8"/>
      <c r="L97" s="8"/>
      <c r="M97" s="8"/>
      <c r="N97" s="8"/>
      <c r="O97" s="8"/>
      <c r="P97" s="212">
        <v>8070</v>
      </c>
      <c r="Q97" s="212">
        <v>0</v>
      </c>
      <c r="R97" s="212">
        <v>0</v>
      </c>
      <c r="S97" s="212">
        <v>24000</v>
      </c>
      <c r="T97" s="8">
        <v>54120</v>
      </c>
      <c r="U97" s="132">
        <f t="shared" si="27"/>
        <v>225.5</v>
      </c>
      <c r="V97" s="133">
        <f aca="true" t="shared" si="31" ref="V97:V133">S97/$S$256</f>
        <v>0.0006872023340140072</v>
      </c>
      <c r="W97" s="133">
        <f aca="true" t="shared" si="32" ref="W97:W133">T97/$T$256</f>
        <v>0.001650251864659588</v>
      </c>
    </row>
    <row r="98" spans="1:23" ht="16.5" customHeight="1">
      <c r="A98" s="19">
        <v>9</v>
      </c>
      <c r="B98" s="124" t="s">
        <v>593</v>
      </c>
      <c r="C98" s="27" t="s">
        <v>592</v>
      </c>
      <c r="D98" s="18"/>
      <c r="E98" s="18"/>
      <c r="F98" s="5" t="e">
        <f>F99+F103+F109+F124+F126</f>
        <v>#REF!</v>
      </c>
      <c r="G98" s="122" t="e">
        <f>G99+G103+#REF!+G109+G124+G126</f>
        <v>#REF!</v>
      </c>
      <c r="H98" s="115" t="e">
        <f t="shared" si="0"/>
        <v>#REF!</v>
      </c>
      <c r="I98" s="10" t="e">
        <f>F98/F256</f>
        <v>#REF!</v>
      </c>
      <c r="J98" s="37"/>
      <c r="K98" s="7" t="e">
        <f>K99+K103+#REF!+K109+K124+K126</f>
        <v>#REF!</v>
      </c>
      <c r="L98" s="7" t="e">
        <f>L99+L103+#REF!+L109+L124+L126</f>
        <v>#REF!</v>
      </c>
      <c r="M98" s="7" t="e">
        <f>M99+M103+#REF!+M109+M124+M126</f>
        <v>#REF!</v>
      </c>
      <c r="N98" s="7" t="e">
        <f>N99+N103+#REF!+N109+N124+N126</f>
        <v>#REF!</v>
      </c>
      <c r="O98" s="7" t="e">
        <f>O99+O103+#REF!+O109+O124+O126</f>
        <v>#REF!</v>
      </c>
      <c r="P98" s="271">
        <f>P99+P103+P109+P124+P126</f>
        <v>202892</v>
      </c>
      <c r="Q98" s="271">
        <f>Q99+Q103+Q109+Q124+Q126</f>
        <v>0</v>
      </c>
      <c r="R98" s="271">
        <f>R99+R103+R109+R124+R126</f>
        <v>0</v>
      </c>
      <c r="S98" s="271">
        <f>S99+S103+S107+S130</f>
        <v>280621</v>
      </c>
      <c r="T98" s="271">
        <f>T99+T103+T107</f>
        <v>318785</v>
      </c>
      <c r="U98" s="132">
        <f t="shared" si="27"/>
        <v>113.5998375032517</v>
      </c>
      <c r="V98" s="133">
        <f t="shared" si="31"/>
        <v>0.008035141923889363</v>
      </c>
      <c r="W98" s="133">
        <f t="shared" si="32"/>
        <v>0.00972053844559325</v>
      </c>
    </row>
    <row r="99" spans="1:23" ht="26.25" customHeight="1">
      <c r="A99" s="19" t="s">
        <v>85</v>
      </c>
      <c r="B99" s="4" t="s">
        <v>880</v>
      </c>
      <c r="C99" s="27"/>
      <c r="D99" s="27" t="s">
        <v>594</v>
      </c>
      <c r="E99" s="27"/>
      <c r="F99" s="9" t="e">
        <f>#REF!+F101+#REF!+#REF!+F102</f>
        <v>#REF!</v>
      </c>
      <c r="G99" s="122" t="e">
        <f>#REF!+G101+#REF!+#REF!+G102+#REF!</f>
        <v>#REF!</v>
      </c>
      <c r="H99" s="115" t="e">
        <f t="shared" si="0"/>
        <v>#REF!</v>
      </c>
      <c r="I99" s="10" t="e">
        <f>F99/F256</f>
        <v>#REF!</v>
      </c>
      <c r="J99" s="37"/>
      <c r="K99" s="7" t="e">
        <f>#REF!+K101+#REF!+#REF!+K102+#REF!</f>
        <v>#REF!</v>
      </c>
      <c r="L99" s="7" t="e">
        <f>#REF!+L101+#REF!+#REF!+L102++#REF!</f>
        <v>#REF!</v>
      </c>
      <c r="M99" s="7" t="e">
        <f>#REF!+M101+#REF!+#REF!+M102+#REF!</f>
        <v>#REF!</v>
      </c>
      <c r="N99" s="7" t="e">
        <f>#REF!+N101+#REF!+#REF!+N102+#REF!</f>
        <v>#REF!</v>
      </c>
      <c r="O99" s="7" t="e">
        <f>#REF!+O101+#REF!+#REF!+O102+#REF!</f>
        <v>#REF!</v>
      </c>
      <c r="P99" s="271">
        <f>P101+P102</f>
        <v>6850</v>
      </c>
      <c r="Q99" s="271">
        <f>Q101+Q102</f>
        <v>0</v>
      </c>
      <c r="R99" s="271">
        <f>R101+R102</f>
        <v>0</v>
      </c>
      <c r="S99" s="271">
        <v>500</v>
      </c>
      <c r="T99" s="271">
        <f>T101+T102+T100</f>
        <v>500</v>
      </c>
      <c r="U99" s="132">
        <f t="shared" si="27"/>
        <v>100</v>
      </c>
      <c r="V99" s="133">
        <f t="shared" si="31"/>
        <v>1.4316715291958485E-05</v>
      </c>
      <c r="W99" s="133">
        <f t="shared" si="32"/>
        <v>1.5246229348296268E-05</v>
      </c>
    </row>
    <row r="100" spans="1:23" ht="20.25" customHeight="1">
      <c r="A100" s="19"/>
      <c r="B100" s="11" t="s">
        <v>800</v>
      </c>
      <c r="C100" s="27"/>
      <c r="D100" s="27"/>
      <c r="E100" s="31" t="s">
        <v>801</v>
      </c>
      <c r="F100" s="107"/>
      <c r="G100" s="131"/>
      <c r="H100" s="132"/>
      <c r="I100" s="133"/>
      <c r="J100" s="113"/>
      <c r="K100" s="20"/>
      <c r="L100" s="20"/>
      <c r="M100" s="20"/>
      <c r="N100" s="20"/>
      <c r="O100" s="20"/>
      <c r="P100" s="280"/>
      <c r="Q100" s="280"/>
      <c r="R100" s="280"/>
      <c r="S100" s="280">
        <v>500</v>
      </c>
      <c r="T100" s="280">
        <v>300</v>
      </c>
      <c r="U100" s="132">
        <v>0</v>
      </c>
      <c r="V100" s="133">
        <f t="shared" si="31"/>
        <v>1.4316715291958485E-05</v>
      </c>
      <c r="W100" s="133">
        <f t="shared" si="32"/>
        <v>9.147737608977761E-06</v>
      </c>
    </row>
    <row r="101" spans="1:23" ht="15.75" customHeight="1">
      <c r="A101" s="19"/>
      <c r="B101" s="11" t="s">
        <v>387</v>
      </c>
      <c r="C101" s="18"/>
      <c r="D101" s="18"/>
      <c r="E101" s="18" t="s">
        <v>308</v>
      </c>
      <c r="F101" s="5">
        <v>2740</v>
      </c>
      <c r="G101" s="131">
        <v>4713</v>
      </c>
      <c r="H101" s="121">
        <f t="shared" si="0"/>
        <v>172.007299270073</v>
      </c>
      <c r="I101" s="6" t="e">
        <f>F101/F256</f>
        <v>#REF!</v>
      </c>
      <c r="K101" s="8">
        <v>0</v>
      </c>
      <c r="L101" s="8">
        <v>0</v>
      </c>
      <c r="M101" s="8">
        <v>6500</v>
      </c>
      <c r="N101" s="8">
        <v>0</v>
      </c>
      <c r="O101" s="8">
        <v>0</v>
      </c>
      <c r="P101" s="212">
        <v>6500</v>
      </c>
      <c r="Q101" s="212">
        <v>0</v>
      </c>
      <c r="R101" s="212">
        <v>0</v>
      </c>
      <c r="S101" s="212">
        <v>0</v>
      </c>
      <c r="T101" s="8">
        <v>0</v>
      </c>
      <c r="U101" s="132">
        <v>0</v>
      </c>
      <c r="V101" s="133">
        <f t="shared" si="31"/>
        <v>0</v>
      </c>
      <c r="W101" s="133">
        <f t="shared" si="32"/>
        <v>0</v>
      </c>
    </row>
    <row r="102" spans="1:23" ht="14.25" customHeight="1">
      <c r="A102" s="19"/>
      <c r="B102" s="20" t="s">
        <v>94</v>
      </c>
      <c r="C102" s="18"/>
      <c r="D102" s="18"/>
      <c r="E102" s="18" t="s">
        <v>306</v>
      </c>
      <c r="F102" s="5">
        <v>4000</v>
      </c>
      <c r="G102" s="131">
        <v>6000</v>
      </c>
      <c r="H102" s="121">
        <f t="shared" si="0"/>
        <v>150</v>
      </c>
      <c r="I102" s="6" t="e">
        <f>F102/F256</f>
        <v>#REF!</v>
      </c>
      <c r="K102" s="8">
        <v>0</v>
      </c>
      <c r="L102" s="8">
        <v>0</v>
      </c>
      <c r="M102" s="8">
        <v>2500</v>
      </c>
      <c r="N102" s="8">
        <v>0</v>
      </c>
      <c r="O102" s="8">
        <v>0</v>
      </c>
      <c r="P102" s="212">
        <v>350</v>
      </c>
      <c r="Q102" s="212">
        <v>0</v>
      </c>
      <c r="R102" s="212">
        <v>0</v>
      </c>
      <c r="S102" s="212">
        <v>0</v>
      </c>
      <c r="T102" s="8">
        <v>200</v>
      </c>
      <c r="U102" s="132">
        <v>0</v>
      </c>
      <c r="V102" s="133">
        <f t="shared" si="31"/>
        <v>0</v>
      </c>
      <c r="W102" s="133">
        <f t="shared" si="32"/>
        <v>6.098491739318507E-06</v>
      </c>
    </row>
    <row r="103" spans="1:23" ht="15.75" customHeight="1">
      <c r="A103" s="19" t="s">
        <v>96</v>
      </c>
      <c r="B103" s="7" t="s">
        <v>708</v>
      </c>
      <c r="C103" s="27"/>
      <c r="D103" s="27" t="s">
        <v>595</v>
      </c>
      <c r="E103" s="27"/>
      <c r="F103" s="9">
        <f>F104+F105</f>
        <v>159900</v>
      </c>
      <c r="G103" s="122">
        <f>G104+G105</f>
        <v>170000</v>
      </c>
      <c r="H103" s="115">
        <f t="shared" si="0"/>
        <v>106.31644777986241</v>
      </c>
      <c r="I103" s="10" t="e">
        <f>F103/F256</f>
        <v>#REF!</v>
      </c>
      <c r="J103" s="37"/>
      <c r="K103" s="7">
        <f>K104+K105</f>
        <v>6500</v>
      </c>
      <c r="L103" s="7">
        <f>L104+L105</f>
        <v>500</v>
      </c>
      <c r="M103" s="7">
        <f>M104+M105</f>
        <v>180500</v>
      </c>
      <c r="N103" s="7">
        <f>N104+N105</f>
        <v>0</v>
      </c>
      <c r="O103" s="7">
        <f>O104+O105</f>
        <v>0</v>
      </c>
      <c r="P103" s="271">
        <f>P104+P105+P106</f>
        <v>182200</v>
      </c>
      <c r="Q103" s="271">
        <f>Q104+Q105+Q106</f>
        <v>0</v>
      </c>
      <c r="R103" s="271">
        <f>R104+R105+R106</f>
        <v>0</v>
      </c>
      <c r="S103" s="271">
        <f>S104+S105+S106</f>
        <v>278245</v>
      </c>
      <c r="T103" s="271">
        <f>T104+T105+T106</f>
        <v>317585</v>
      </c>
      <c r="U103" s="132">
        <f t="shared" si="27"/>
        <v>114.1386188431059</v>
      </c>
      <c r="V103" s="133">
        <f t="shared" si="31"/>
        <v>0.007967108892821977</v>
      </c>
      <c r="W103" s="133">
        <f t="shared" si="32"/>
        <v>0.00968394749515734</v>
      </c>
    </row>
    <row r="104" spans="1:23" ht="15.75" customHeight="1">
      <c r="A104" s="24"/>
      <c r="B104" s="8" t="s">
        <v>104</v>
      </c>
      <c r="C104" s="18"/>
      <c r="D104" s="18"/>
      <c r="E104" s="18" t="s">
        <v>309</v>
      </c>
      <c r="F104" s="5">
        <v>159000</v>
      </c>
      <c r="G104" s="123">
        <v>169000</v>
      </c>
      <c r="H104" s="121">
        <f t="shared" si="0"/>
        <v>106.28930817610063</v>
      </c>
      <c r="I104" s="6" t="e">
        <f>F104/F256</f>
        <v>#REF!</v>
      </c>
      <c r="K104" s="8">
        <v>6500</v>
      </c>
      <c r="L104" s="8">
        <v>0</v>
      </c>
      <c r="M104" s="8">
        <v>180000</v>
      </c>
      <c r="N104" s="8">
        <v>0</v>
      </c>
      <c r="O104" s="8">
        <v>0</v>
      </c>
      <c r="P104" s="212">
        <v>182000</v>
      </c>
      <c r="Q104" s="212">
        <v>0</v>
      </c>
      <c r="R104" s="212">
        <v>0</v>
      </c>
      <c r="S104" s="212">
        <v>275688</v>
      </c>
      <c r="T104" s="8">
        <v>317085</v>
      </c>
      <c r="U104" s="132">
        <f t="shared" si="27"/>
        <v>115.01588752502829</v>
      </c>
      <c r="V104" s="133">
        <f t="shared" si="31"/>
        <v>0.007893893210818901</v>
      </c>
      <c r="W104" s="133">
        <f t="shared" si="32"/>
        <v>0.009668701265809043</v>
      </c>
    </row>
    <row r="105" spans="1:23" ht="15" customHeight="1">
      <c r="A105" s="24"/>
      <c r="B105" s="11" t="s">
        <v>94</v>
      </c>
      <c r="C105" s="18"/>
      <c r="D105" s="18"/>
      <c r="E105" s="18" t="s">
        <v>306</v>
      </c>
      <c r="F105" s="5">
        <v>900</v>
      </c>
      <c r="G105" s="123">
        <v>1000</v>
      </c>
      <c r="H105" s="121">
        <f t="shared" si="0"/>
        <v>111.11111111111111</v>
      </c>
      <c r="I105" s="121" t="e">
        <f>F105/F256</f>
        <v>#REF!</v>
      </c>
      <c r="K105" s="8">
        <v>0</v>
      </c>
      <c r="L105" s="8">
        <v>500</v>
      </c>
      <c r="M105" s="8">
        <v>500</v>
      </c>
      <c r="N105" s="8">
        <v>0</v>
      </c>
      <c r="O105" s="8">
        <v>0</v>
      </c>
      <c r="P105" s="212">
        <v>50</v>
      </c>
      <c r="Q105" s="212">
        <v>0</v>
      </c>
      <c r="R105" s="212">
        <v>0</v>
      </c>
      <c r="S105" s="212">
        <v>240</v>
      </c>
      <c r="T105" s="8">
        <v>500</v>
      </c>
      <c r="U105" s="132">
        <v>0</v>
      </c>
      <c r="V105" s="133">
        <f t="shared" si="31"/>
        <v>6.872023340140072E-06</v>
      </c>
      <c r="W105" s="133">
        <f t="shared" si="32"/>
        <v>1.5246229348296268E-05</v>
      </c>
    </row>
    <row r="106" spans="1:23" ht="15.75" customHeight="1">
      <c r="A106" s="24"/>
      <c r="B106" s="11" t="s">
        <v>127</v>
      </c>
      <c r="C106" s="18"/>
      <c r="D106" s="18"/>
      <c r="E106" s="18" t="s">
        <v>310</v>
      </c>
      <c r="F106" s="5"/>
      <c r="G106" s="123"/>
      <c r="H106" s="121"/>
      <c r="I106" s="121"/>
      <c r="K106" s="8"/>
      <c r="L106" s="8"/>
      <c r="M106" s="8"/>
      <c r="N106" s="8"/>
      <c r="O106" s="8"/>
      <c r="P106" s="212">
        <v>150</v>
      </c>
      <c r="Q106" s="212">
        <v>0</v>
      </c>
      <c r="R106" s="212">
        <v>0</v>
      </c>
      <c r="S106" s="212">
        <v>2317</v>
      </c>
      <c r="T106" s="8">
        <v>0</v>
      </c>
      <c r="U106" s="132">
        <f t="shared" si="27"/>
        <v>0</v>
      </c>
      <c r="V106" s="133">
        <f t="shared" si="31"/>
        <v>6.634365866293562E-05</v>
      </c>
      <c r="W106" s="133">
        <f t="shared" si="32"/>
        <v>0</v>
      </c>
    </row>
    <row r="107" spans="1:23" ht="18" customHeight="1">
      <c r="A107" s="19" t="s">
        <v>139</v>
      </c>
      <c r="B107" s="4" t="s">
        <v>881</v>
      </c>
      <c r="C107" s="27"/>
      <c r="D107" s="27" t="s">
        <v>600</v>
      </c>
      <c r="E107" s="27"/>
      <c r="F107" s="9"/>
      <c r="G107" s="122"/>
      <c r="H107" s="115"/>
      <c r="I107" s="115"/>
      <c r="J107" s="37"/>
      <c r="K107" s="7"/>
      <c r="L107" s="7"/>
      <c r="M107" s="7"/>
      <c r="N107" s="7"/>
      <c r="O107" s="7"/>
      <c r="P107" s="272"/>
      <c r="Q107" s="272"/>
      <c r="R107" s="272"/>
      <c r="S107" s="272">
        <f>S108</f>
        <v>1280</v>
      </c>
      <c r="T107" s="272">
        <f>T108</f>
        <v>700</v>
      </c>
      <c r="U107" s="132">
        <v>0</v>
      </c>
      <c r="V107" s="133">
        <f t="shared" si="31"/>
        <v>3.665079114741372E-05</v>
      </c>
      <c r="W107" s="133">
        <f t="shared" si="32"/>
        <v>2.1344721087614774E-05</v>
      </c>
    </row>
    <row r="108" spans="1:23" ht="23.25" customHeight="1">
      <c r="A108" s="48"/>
      <c r="B108" s="86" t="s">
        <v>800</v>
      </c>
      <c r="C108" s="128"/>
      <c r="D108" s="128"/>
      <c r="E108" s="128" t="s">
        <v>801</v>
      </c>
      <c r="F108" s="105"/>
      <c r="G108" s="129"/>
      <c r="H108" s="302"/>
      <c r="I108" s="302"/>
      <c r="K108" s="78"/>
      <c r="L108" s="78"/>
      <c r="M108" s="78"/>
      <c r="N108" s="78"/>
      <c r="O108" s="78"/>
      <c r="P108" s="87"/>
      <c r="Q108" s="87"/>
      <c r="R108" s="87"/>
      <c r="S108" s="87">
        <v>1280</v>
      </c>
      <c r="T108" s="87">
        <v>700</v>
      </c>
      <c r="U108" s="139">
        <v>0</v>
      </c>
      <c r="V108" s="140">
        <f t="shared" si="31"/>
        <v>3.665079114741372E-05</v>
      </c>
      <c r="W108" s="140">
        <f t="shared" si="32"/>
        <v>2.1344721087614774E-05</v>
      </c>
    </row>
    <row r="109" spans="1:23" ht="24" customHeight="1" hidden="1">
      <c r="A109" s="19" t="s">
        <v>141</v>
      </c>
      <c r="B109" s="65" t="s">
        <v>142</v>
      </c>
      <c r="C109" s="27"/>
      <c r="D109" s="27" t="s">
        <v>596</v>
      </c>
      <c r="E109" s="27"/>
      <c r="F109" s="7" t="e">
        <f>#REF!+F110+#REF!</f>
        <v>#REF!</v>
      </c>
      <c r="G109" s="7" t="e">
        <f>#REF!+G110+#REF!</f>
        <v>#REF!</v>
      </c>
      <c r="H109" s="115" t="e">
        <f t="shared" si="0"/>
        <v>#REF!</v>
      </c>
      <c r="I109" s="115" t="e">
        <f>F109/F256</f>
        <v>#REF!</v>
      </c>
      <c r="J109" s="7"/>
      <c r="K109" s="7" t="e">
        <f>#REF!+K110+#REF!</f>
        <v>#REF!</v>
      </c>
      <c r="L109" s="7" t="e">
        <f>#REF!+L110+#REF!</f>
        <v>#REF!</v>
      </c>
      <c r="M109" s="7" t="e">
        <f>#REF!+M110+#REF!</f>
        <v>#REF!</v>
      </c>
      <c r="N109" s="7" t="e">
        <f>#REF!+N110+#REF!</f>
        <v>#REF!</v>
      </c>
      <c r="O109" s="7" t="e">
        <f>#REF!+O110+#REF!</f>
        <v>#REF!</v>
      </c>
      <c r="P109" s="151">
        <f>P110</f>
        <v>500</v>
      </c>
      <c r="Q109" s="151">
        <f>Q110</f>
        <v>0</v>
      </c>
      <c r="R109" s="151">
        <f>R110</f>
        <v>0</v>
      </c>
      <c r="S109" s="151">
        <f>S110</f>
        <v>0</v>
      </c>
      <c r="T109" s="151">
        <f>T110</f>
        <v>0</v>
      </c>
      <c r="U109" s="139">
        <v>0</v>
      </c>
      <c r="V109" s="140">
        <f t="shared" si="31"/>
        <v>0</v>
      </c>
      <c r="W109" s="140">
        <f t="shared" si="32"/>
        <v>0</v>
      </c>
    </row>
    <row r="110" spans="1:23" ht="0.75" customHeight="1" hidden="1">
      <c r="A110" s="24"/>
      <c r="B110" s="28" t="s">
        <v>94</v>
      </c>
      <c r="C110" s="18"/>
      <c r="D110" s="18"/>
      <c r="E110" s="18" t="s">
        <v>306</v>
      </c>
      <c r="F110" s="8">
        <v>6500</v>
      </c>
      <c r="G110" s="8">
        <v>4200</v>
      </c>
      <c r="H110" s="121">
        <f>IF(F110&gt;0,G110/F110*100,"")</f>
        <v>64.61538461538461</v>
      </c>
      <c r="I110" s="121" t="e">
        <f>F110/F256</f>
        <v>#REF!</v>
      </c>
      <c r="J110" s="8"/>
      <c r="K110" s="8">
        <v>0</v>
      </c>
      <c r="L110" s="8">
        <v>0</v>
      </c>
      <c r="M110" s="8">
        <v>650</v>
      </c>
      <c r="N110" s="8">
        <v>0</v>
      </c>
      <c r="O110" s="8">
        <v>0</v>
      </c>
      <c r="P110" s="8">
        <v>500</v>
      </c>
      <c r="Q110" s="8">
        <v>0</v>
      </c>
      <c r="R110" s="8">
        <v>0</v>
      </c>
      <c r="S110" s="8">
        <v>0</v>
      </c>
      <c r="T110" s="8">
        <v>0</v>
      </c>
      <c r="U110" s="139">
        <v>0</v>
      </c>
      <c r="V110" s="140">
        <f t="shared" si="31"/>
        <v>0</v>
      </c>
      <c r="W110" s="140">
        <f t="shared" si="32"/>
        <v>0</v>
      </c>
    </row>
    <row r="111" spans="1:23" ht="18.75" customHeight="1" hidden="1" thickBot="1">
      <c r="A111" s="19" t="s">
        <v>406</v>
      </c>
      <c r="B111" s="17" t="s">
        <v>88</v>
      </c>
      <c r="C111" s="27"/>
      <c r="D111" s="27" t="s">
        <v>700</v>
      </c>
      <c r="E111" s="27"/>
      <c r="F111" s="7"/>
      <c r="G111" s="7"/>
      <c r="H111" s="115"/>
      <c r="I111" s="115"/>
      <c r="J111" s="7"/>
      <c r="K111" s="7"/>
      <c r="L111" s="7"/>
      <c r="M111" s="7"/>
      <c r="N111" s="7"/>
      <c r="O111" s="7"/>
      <c r="P111" s="7"/>
      <c r="Q111" s="7"/>
      <c r="R111" s="7"/>
      <c r="S111" s="7">
        <f>S112+S116+S120+S122+S124+S126</f>
        <v>0</v>
      </c>
      <c r="T111" s="7">
        <f>T112+T116+T120+T122+T124+T126</f>
        <v>0</v>
      </c>
      <c r="U111" s="139">
        <v>0</v>
      </c>
      <c r="V111" s="140">
        <f t="shared" si="31"/>
        <v>0</v>
      </c>
      <c r="W111" s="140">
        <f t="shared" si="32"/>
        <v>0</v>
      </c>
    </row>
    <row r="112" spans="1:23" ht="30.75" customHeight="1" hidden="1">
      <c r="A112" s="19" t="s">
        <v>85</v>
      </c>
      <c r="B112" s="4" t="s">
        <v>880</v>
      </c>
      <c r="C112" s="27"/>
      <c r="D112" s="27" t="s">
        <v>89</v>
      </c>
      <c r="E112" s="27"/>
      <c r="F112" s="9" t="e">
        <f>#REF!+F114+#REF!+#REF!+F115</f>
        <v>#REF!</v>
      </c>
      <c r="G112" s="122" t="e">
        <f>#REF!+G114+#REF!+#REF!+G115+#REF!</f>
        <v>#REF!</v>
      </c>
      <c r="H112" s="115" t="e">
        <f>IF(F112&gt;0,G112/F112*100,"")</f>
        <v>#REF!</v>
      </c>
      <c r="I112" s="10" t="e">
        <f>F112/F273</f>
        <v>#REF!</v>
      </c>
      <c r="J112" s="7"/>
      <c r="K112" s="7" t="e">
        <f>#REF!+K114+#REF!+#REF!+K115+#REF!</f>
        <v>#REF!</v>
      </c>
      <c r="L112" s="7" t="e">
        <f>#REF!+L114+#REF!+#REF!+L115++#REF!</f>
        <v>#REF!</v>
      </c>
      <c r="M112" s="7" t="e">
        <f>#REF!+M114+#REF!+#REF!+M115+#REF!</f>
        <v>#REF!</v>
      </c>
      <c r="N112" s="7" t="e">
        <f>#REF!+N114+#REF!+#REF!+N115+#REF!</f>
        <v>#REF!</v>
      </c>
      <c r="O112" s="7" t="e">
        <f>#REF!+O114+#REF!+#REF!+O115+#REF!</f>
        <v>#REF!</v>
      </c>
      <c r="P112" s="151">
        <f>P114+P115</f>
        <v>6850</v>
      </c>
      <c r="Q112" s="151">
        <f>Q114+Q115</f>
        <v>0</v>
      </c>
      <c r="R112" s="151">
        <f>R114+R115</f>
        <v>0</v>
      </c>
      <c r="S112" s="151">
        <f>S114+S115+S113</f>
        <v>0</v>
      </c>
      <c r="T112" s="151">
        <f>T114+T115+T113</f>
        <v>0</v>
      </c>
      <c r="U112" s="139">
        <v>0</v>
      </c>
      <c r="V112" s="140">
        <f t="shared" si="31"/>
        <v>0</v>
      </c>
      <c r="W112" s="140">
        <f t="shared" si="32"/>
        <v>0</v>
      </c>
    </row>
    <row r="113" spans="1:23" ht="18.75" customHeight="1" hidden="1">
      <c r="A113" s="19"/>
      <c r="B113" s="8" t="s">
        <v>98</v>
      </c>
      <c r="C113" s="27"/>
      <c r="D113" s="27"/>
      <c r="E113" s="31" t="s">
        <v>99</v>
      </c>
      <c r="F113" s="107"/>
      <c r="G113" s="131"/>
      <c r="H113" s="132"/>
      <c r="I113" s="133"/>
      <c r="J113" s="20"/>
      <c r="K113" s="20"/>
      <c r="L113" s="20"/>
      <c r="M113" s="20"/>
      <c r="N113" s="20"/>
      <c r="O113" s="20"/>
      <c r="P113" s="325"/>
      <c r="Q113" s="325"/>
      <c r="R113" s="325"/>
      <c r="S113" s="325">
        <v>0</v>
      </c>
      <c r="T113" s="325">
        <v>0</v>
      </c>
      <c r="U113" s="139">
        <v>0</v>
      </c>
      <c r="V113" s="140">
        <f t="shared" si="31"/>
        <v>0</v>
      </c>
      <c r="W113" s="140">
        <f t="shared" si="32"/>
        <v>0</v>
      </c>
    </row>
    <row r="114" spans="1:23" ht="38.25" customHeight="1" hidden="1">
      <c r="A114" s="19"/>
      <c r="B114" s="11" t="s">
        <v>137</v>
      </c>
      <c r="C114" s="18"/>
      <c r="D114" s="18"/>
      <c r="E114" s="18" t="s">
        <v>308</v>
      </c>
      <c r="F114" s="5">
        <v>2740</v>
      </c>
      <c r="G114" s="131">
        <v>4713</v>
      </c>
      <c r="H114" s="121">
        <f>IF(F114&gt;0,G114/F114*100,"")</f>
        <v>172.007299270073</v>
      </c>
      <c r="I114" s="6" t="e">
        <f>F114/F273</f>
        <v>#DIV/0!</v>
      </c>
      <c r="J114" s="8"/>
      <c r="K114" s="8">
        <v>0</v>
      </c>
      <c r="L114" s="8">
        <v>0</v>
      </c>
      <c r="M114" s="8">
        <v>6500</v>
      </c>
      <c r="N114" s="8">
        <v>0</v>
      </c>
      <c r="O114" s="8">
        <v>0</v>
      </c>
      <c r="P114" s="8">
        <v>6500</v>
      </c>
      <c r="Q114" s="8">
        <v>0</v>
      </c>
      <c r="R114" s="8">
        <v>0</v>
      </c>
      <c r="S114" s="8">
        <v>0</v>
      </c>
      <c r="T114" s="8">
        <v>0</v>
      </c>
      <c r="U114" s="139">
        <v>0</v>
      </c>
      <c r="V114" s="140">
        <f t="shared" si="31"/>
        <v>0</v>
      </c>
      <c r="W114" s="140">
        <f t="shared" si="32"/>
        <v>0</v>
      </c>
    </row>
    <row r="115" spans="1:23" ht="18.75" customHeight="1" hidden="1">
      <c r="A115" s="19"/>
      <c r="B115" s="20" t="s">
        <v>94</v>
      </c>
      <c r="C115" s="18"/>
      <c r="D115" s="18"/>
      <c r="E115" s="18" t="s">
        <v>306</v>
      </c>
      <c r="F115" s="5">
        <v>4000</v>
      </c>
      <c r="G115" s="131">
        <v>6000</v>
      </c>
      <c r="H115" s="121">
        <f>IF(F115&gt;0,G115/F115*100,"")</f>
        <v>150</v>
      </c>
      <c r="I115" s="6" t="e">
        <f>F115/F273</f>
        <v>#DIV/0!</v>
      </c>
      <c r="J115" s="8"/>
      <c r="K115" s="8">
        <v>0</v>
      </c>
      <c r="L115" s="8">
        <v>0</v>
      </c>
      <c r="M115" s="8">
        <v>2500</v>
      </c>
      <c r="N115" s="8">
        <v>0</v>
      </c>
      <c r="O115" s="8">
        <v>0</v>
      </c>
      <c r="P115" s="8">
        <v>350</v>
      </c>
      <c r="Q115" s="8">
        <v>0</v>
      </c>
      <c r="R115" s="8">
        <v>0</v>
      </c>
      <c r="S115" s="8">
        <v>0</v>
      </c>
      <c r="T115" s="8">
        <v>0</v>
      </c>
      <c r="U115" s="139">
        <v>0</v>
      </c>
      <c r="V115" s="140">
        <f t="shared" si="31"/>
        <v>0</v>
      </c>
      <c r="W115" s="140">
        <f t="shared" si="32"/>
        <v>0</v>
      </c>
    </row>
    <row r="116" spans="1:23" ht="18.75" customHeight="1" hidden="1">
      <c r="A116" s="19" t="s">
        <v>96</v>
      </c>
      <c r="B116" s="7" t="s">
        <v>708</v>
      </c>
      <c r="C116" s="27"/>
      <c r="D116" s="27" t="s">
        <v>90</v>
      </c>
      <c r="E116" s="27"/>
      <c r="F116" s="9">
        <f>F117+F118</f>
        <v>159900</v>
      </c>
      <c r="G116" s="122">
        <f>G117+G118</f>
        <v>170000</v>
      </c>
      <c r="H116" s="115">
        <f>IF(F116&gt;0,G116/F116*100,"")</f>
        <v>106.31644777986241</v>
      </c>
      <c r="I116" s="10" t="e">
        <f>F116/F273</f>
        <v>#DIV/0!</v>
      </c>
      <c r="J116" s="7"/>
      <c r="K116" s="7">
        <f>K117+K118</f>
        <v>6500</v>
      </c>
      <c r="L116" s="7">
        <f>L117+L118</f>
        <v>500</v>
      </c>
      <c r="M116" s="7">
        <f>M117+M118</f>
        <v>180500</v>
      </c>
      <c r="N116" s="7">
        <f>N117+N118</f>
        <v>0</v>
      </c>
      <c r="O116" s="7">
        <f>O117+O118</f>
        <v>0</v>
      </c>
      <c r="P116" s="151">
        <f>P117+P118+P119</f>
        <v>182200</v>
      </c>
      <c r="Q116" s="151">
        <f>Q117+Q118+Q119</f>
        <v>0</v>
      </c>
      <c r="R116" s="151">
        <f>R117+R118+R119</f>
        <v>0</v>
      </c>
      <c r="S116" s="151">
        <f>S117+S118+S119</f>
        <v>0</v>
      </c>
      <c r="T116" s="151">
        <f>T117+T118+T119</f>
        <v>0</v>
      </c>
      <c r="U116" s="139">
        <v>0</v>
      </c>
      <c r="V116" s="140">
        <f t="shared" si="31"/>
        <v>0</v>
      </c>
      <c r="W116" s="140">
        <f t="shared" si="32"/>
        <v>0</v>
      </c>
    </row>
    <row r="117" spans="1:23" ht="18.75" customHeight="1" hidden="1">
      <c r="A117" s="24"/>
      <c r="B117" s="8" t="s">
        <v>104</v>
      </c>
      <c r="C117" s="18"/>
      <c r="D117" s="18"/>
      <c r="E117" s="18" t="s">
        <v>309</v>
      </c>
      <c r="F117" s="5">
        <v>159000</v>
      </c>
      <c r="G117" s="123">
        <v>169000</v>
      </c>
      <c r="H117" s="121">
        <f>IF(F117&gt;0,G117/F117*100,"")</f>
        <v>106.28930817610063</v>
      </c>
      <c r="I117" s="6" t="e">
        <f>F117/F273</f>
        <v>#DIV/0!</v>
      </c>
      <c r="J117" s="8"/>
      <c r="K117" s="8">
        <v>6500</v>
      </c>
      <c r="L117" s="8">
        <v>0</v>
      </c>
      <c r="M117" s="8">
        <v>180000</v>
      </c>
      <c r="N117" s="8">
        <v>0</v>
      </c>
      <c r="O117" s="8">
        <v>0</v>
      </c>
      <c r="P117" s="8">
        <v>182000</v>
      </c>
      <c r="Q117" s="8">
        <v>0</v>
      </c>
      <c r="R117" s="8">
        <v>0</v>
      </c>
      <c r="S117" s="8">
        <v>0</v>
      </c>
      <c r="T117" s="8">
        <v>0</v>
      </c>
      <c r="U117" s="139">
        <v>0</v>
      </c>
      <c r="V117" s="140">
        <f t="shared" si="31"/>
        <v>0</v>
      </c>
      <c r="W117" s="140">
        <f t="shared" si="32"/>
        <v>0</v>
      </c>
    </row>
    <row r="118" spans="1:23" ht="18.75" customHeight="1" hidden="1">
      <c r="A118" s="24"/>
      <c r="B118" s="11" t="s">
        <v>94</v>
      </c>
      <c r="C118" s="18"/>
      <c r="D118" s="18"/>
      <c r="E118" s="18" t="s">
        <v>306</v>
      </c>
      <c r="F118" s="5">
        <v>900</v>
      </c>
      <c r="G118" s="123">
        <v>1000</v>
      </c>
      <c r="H118" s="121">
        <f>IF(F118&gt;0,G118/F118*100,"")</f>
        <v>111.11111111111111</v>
      </c>
      <c r="I118" s="121" t="e">
        <f>F118/F273</f>
        <v>#DIV/0!</v>
      </c>
      <c r="J118" s="8"/>
      <c r="K118" s="8">
        <v>0</v>
      </c>
      <c r="L118" s="8">
        <v>500</v>
      </c>
      <c r="M118" s="8">
        <v>500</v>
      </c>
      <c r="N118" s="8">
        <v>0</v>
      </c>
      <c r="O118" s="8">
        <v>0</v>
      </c>
      <c r="P118" s="8">
        <v>50</v>
      </c>
      <c r="Q118" s="8">
        <v>0</v>
      </c>
      <c r="R118" s="8">
        <v>0</v>
      </c>
      <c r="S118" s="8">
        <v>0</v>
      </c>
      <c r="T118" s="8">
        <v>0</v>
      </c>
      <c r="U118" s="139">
        <v>0</v>
      </c>
      <c r="V118" s="140">
        <f t="shared" si="31"/>
        <v>0</v>
      </c>
      <c r="W118" s="140">
        <f t="shared" si="32"/>
        <v>0</v>
      </c>
    </row>
    <row r="119" spans="1:23" ht="18.75" customHeight="1" hidden="1">
      <c r="A119" s="24"/>
      <c r="B119" s="11" t="s">
        <v>127</v>
      </c>
      <c r="C119" s="18"/>
      <c r="D119" s="18"/>
      <c r="E119" s="18" t="s">
        <v>310</v>
      </c>
      <c r="F119" s="5"/>
      <c r="G119" s="123"/>
      <c r="H119" s="121"/>
      <c r="I119" s="121"/>
      <c r="J119" s="8"/>
      <c r="K119" s="8"/>
      <c r="L119" s="8"/>
      <c r="M119" s="8"/>
      <c r="N119" s="8"/>
      <c r="O119" s="8"/>
      <c r="P119" s="8">
        <v>150</v>
      </c>
      <c r="Q119" s="8">
        <v>0</v>
      </c>
      <c r="R119" s="8">
        <v>0</v>
      </c>
      <c r="S119" s="8">
        <v>0</v>
      </c>
      <c r="T119" s="8">
        <v>0</v>
      </c>
      <c r="U119" s="139">
        <v>0</v>
      </c>
      <c r="V119" s="140">
        <f t="shared" si="31"/>
        <v>0</v>
      </c>
      <c r="W119" s="140">
        <f t="shared" si="32"/>
        <v>0</v>
      </c>
    </row>
    <row r="120" spans="1:23" ht="18.75" customHeight="1" hidden="1">
      <c r="A120" s="19" t="s">
        <v>139</v>
      </c>
      <c r="B120" s="4" t="s">
        <v>881</v>
      </c>
      <c r="C120" s="27"/>
      <c r="D120" s="27" t="s">
        <v>91</v>
      </c>
      <c r="E120" s="27"/>
      <c r="F120" s="9"/>
      <c r="G120" s="122"/>
      <c r="H120" s="115"/>
      <c r="I120" s="115"/>
      <c r="J120" s="7"/>
      <c r="K120" s="7"/>
      <c r="L120" s="7"/>
      <c r="M120" s="7"/>
      <c r="N120" s="7"/>
      <c r="O120" s="7"/>
      <c r="P120" s="7"/>
      <c r="Q120" s="7"/>
      <c r="R120" s="7"/>
      <c r="S120" s="7">
        <f>S121</f>
        <v>0</v>
      </c>
      <c r="T120" s="7">
        <f>T121</f>
        <v>0</v>
      </c>
      <c r="U120" s="139">
        <v>0</v>
      </c>
      <c r="V120" s="140">
        <f t="shared" si="31"/>
        <v>0</v>
      </c>
      <c r="W120" s="140">
        <f t="shared" si="32"/>
        <v>0</v>
      </c>
    </row>
    <row r="121" spans="1:23" ht="18.75" customHeight="1" hidden="1">
      <c r="A121" s="24"/>
      <c r="B121" s="8" t="s">
        <v>98</v>
      </c>
      <c r="C121" s="18"/>
      <c r="D121" s="18"/>
      <c r="E121" s="18" t="s">
        <v>99</v>
      </c>
      <c r="F121" s="5"/>
      <c r="G121" s="123"/>
      <c r="H121" s="121"/>
      <c r="I121" s="121"/>
      <c r="J121" s="8"/>
      <c r="K121" s="8"/>
      <c r="L121" s="8"/>
      <c r="M121" s="8"/>
      <c r="N121" s="8"/>
      <c r="O121" s="8"/>
      <c r="P121" s="8"/>
      <c r="Q121" s="8"/>
      <c r="R121" s="8"/>
      <c r="S121" s="8">
        <v>0</v>
      </c>
      <c r="T121" s="8">
        <v>0</v>
      </c>
      <c r="U121" s="139">
        <v>0</v>
      </c>
      <c r="V121" s="140">
        <f t="shared" si="31"/>
        <v>0</v>
      </c>
      <c r="W121" s="140">
        <f t="shared" si="32"/>
        <v>0</v>
      </c>
    </row>
    <row r="122" spans="1:23" ht="27" customHeight="1" hidden="1">
      <c r="A122" s="19" t="s">
        <v>139</v>
      </c>
      <c r="B122" s="65" t="s">
        <v>142</v>
      </c>
      <c r="C122" s="27"/>
      <c r="D122" s="27" t="s">
        <v>713</v>
      </c>
      <c r="E122" s="27"/>
      <c r="F122" s="7" t="e">
        <f>#REF!+F123+#REF!</f>
        <v>#REF!</v>
      </c>
      <c r="G122" s="7" t="e">
        <f>#REF!+G123+#REF!</f>
        <v>#REF!</v>
      </c>
      <c r="H122" s="115" t="e">
        <f>IF(F122&gt;0,G122/F122*100,"")</f>
        <v>#REF!</v>
      </c>
      <c r="I122" s="115" t="e">
        <f>F122/F273</f>
        <v>#REF!</v>
      </c>
      <c r="J122" s="7"/>
      <c r="K122" s="7" t="e">
        <f>#REF!+K123+#REF!</f>
        <v>#REF!</v>
      </c>
      <c r="L122" s="7" t="e">
        <f>#REF!+L123+#REF!</f>
        <v>#REF!</v>
      </c>
      <c r="M122" s="7" t="e">
        <f>#REF!+M123+#REF!</f>
        <v>#REF!</v>
      </c>
      <c r="N122" s="7" t="e">
        <f>#REF!+N123+#REF!</f>
        <v>#REF!</v>
      </c>
      <c r="O122" s="7" t="e">
        <f>#REF!+O123+#REF!</f>
        <v>#REF!</v>
      </c>
      <c r="P122" s="151">
        <f>P123</f>
        <v>500</v>
      </c>
      <c r="Q122" s="151">
        <f>Q123</f>
        <v>0</v>
      </c>
      <c r="R122" s="151">
        <f>R123</f>
        <v>0</v>
      </c>
      <c r="S122" s="151">
        <f>S123</f>
        <v>0</v>
      </c>
      <c r="T122" s="151">
        <f>T123</f>
        <v>0</v>
      </c>
      <c r="U122" s="139">
        <v>0</v>
      </c>
      <c r="V122" s="140">
        <f t="shared" si="31"/>
        <v>0</v>
      </c>
      <c r="W122" s="140">
        <f t="shared" si="32"/>
        <v>0</v>
      </c>
    </row>
    <row r="123" spans="1:23" ht="21" customHeight="1" hidden="1">
      <c r="A123" s="24"/>
      <c r="B123" s="28" t="s">
        <v>94</v>
      </c>
      <c r="C123" s="18"/>
      <c r="D123" s="18"/>
      <c r="E123" s="18" t="s">
        <v>306</v>
      </c>
      <c r="F123" s="8">
        <v>6500</v>
      </c>
      <c r="G123" s="8">
        <v>4200</v>
      </c>
      <c r="H123" s="121">
        <f>IF(F123&gt;0,G123/F123*100,"")</f>
        <v>64.61538461538461</v>
      </c>
      <c r="I123" s="121" t="e">
        <f>F123/F273</f>
        <v>#DIV/0!</v>
      </c>
      <c r="J123" s="8"/>
      <c r="K123" s="8">
        <v>0</v>
      </c>
      <c r="L123" s="8">
        <v>0</v>
      </c>
      <c r="M123" s="8">
        <v>650</v>
      </c>
      <c r="N123" s="8">
        <v>0</v>
      </c>
      <c r="O123" s="8">
        <v>0</v>
      </c>
      <c r="P123" s="8">
        <v>500</v>
      </c>
      <c r="Q123" s="8">
        <v>0</v>
      </c>
      <c r="R123" s="8">
        <v>0</v>
      </c>
      <c r="S123" s="8">
        <v>0</v>
      </c>
      <c r="T123" s="8">
        <v>0</v>
      </c>
      <c r="U123" s="139">
        <v>0</v>
      </c>
      <c r="V123" s="140">
        <f t="shared" si="31"/>
        <v>0</v>
      </c>
      <c r="W123" s="140">
        <f t="shared" si="32"/>
        <v>0</v>
      </c>
    </row>
    <row r="124" spans="1:23" ht="16.5" customHeight="1" hidden="1">
      <c r="A124" s="19" t="s">
        <v>141</v>
      </c>
      <c r="B124" s="4" t="s">
        <v>144</v>
      </c>
      <c r="C124" s="27"/>
      <c r="D124" s="27" t="s">
        <v>715</v>
      </c>
      <c r="E124" s="27"/>
      <c r="F124" s="7">
        <f>F125</f>
        <v>19873</v>
      </c>
      <c r="G124" s="7">
        <f>G125</f>
        <v>20000</v>
      </c>
      <c r="H124" s="115">
        <f>G124/F124*100</f>
        <v>100.63905801841695</v>
      </c>
      <c r="I124" s="115" t="e">
        <f>F124/F256</f>
        <v>#REF!</v>
      </c>
      <c r="J124" s="7"/>
      <c r="K124" s="7">
        <f aca="true" t="shared" si="33" ref="K124:T124">K125</f>
        <v>0</v>
      </c>
      <c r="L124" s="7">
        <f t="shared" si="33"/>
        <v>0</v>
      </c>
      <c r="M124" s="7">
        <f t="shared" si="33"/>
        <v>12412</v>
      </c>
      <c r="N124" s="7">
        <f t="shared" si="33"/>
        <v>0</v>
      </c>
      <c r="O124" s="7">
        <f t="shared" si="33"/>
        <v>0</v>
      </c>
      <c r="P124" s="151">
        <f t="shared" si="33"/>
        <v>12412</v>
      </c>
      <c r="Q124" s="151">
        <f t="shared" si="33"/>
        <v>0</v>
      </c>
      <c r="R124" s="151">
        <f t="shared" si="33"/>
        <v>0</v>
      </c>
      <c r="S124" s="151">
        <f t="shared" si="33"/>
        <v>0</v>
      </c>
      <c r="T124" s="151">
        <f t="shared" si="33"/>
        <v>0</v>
      </c>
      <c r="U124" s="139">
        <v>0</v>
      </c>
      <c r="V124" s="140">
        <f t="shared" si="31"/>
        <v>0</v>
      </c>
      <c r="W124" s="140">
        <f t="shared" si="32"/>
        <v>0</v>
      </c>
    </row>
    <row r="125" spans="1:23" ht="16.5" customHeight="1" hidden="1">
      <c r="A125" s="24"/>
      <c r="B125" s="11" t="s">
        <v>127</v>
      </c>
      <c r="C125" s="18"/>
      <c r="D125" s="18"/>
      <c r="E125" s="18" t="s">
        <v>310</v>
      </c>
      <c r="F125" s="8">
        <v>19873</v>
      </c>
      <c r="G125" s="8">
        <v>20000</v>
      </c>
      <c r="H125" s="121">
        <f>G125/F125*100</f>
        <v>100.63905801841695</v>
      </c>
      <c r="I125" s="121" t="e">
        <f>F125/F256</f>
        <v>#REF!</v>
      </c>
      <c r="J125" s="8"/>
      <c r="K125" s="8">
        <v>0</v>
      </c>
      <c r="L125" s="8">
        <v>0</v>
      </c>
      <c r="M125" s="8">
        <v>12412</v>
      </c>
      <c r="N125" s="8">
        <v>0</v>
      </c>
      <c r="O125" s="8">
        <v>0</v>
      </c>
      <c r="P125" s="8">
        <v>12412</v>
      </c>
      <c r="Q125" s="8">
        <v>0</v>
      </c>
      <c r="R125" s="8">
        <v>0</v>
      </c>
      <c r="S125" s="8">
        <v>0</v>
      </c>
      <c r="T125" s="8">
        <v>0</v>
      </c>
      <c r="U125" s="139">
        <v>0</v>
      </c>
      <c r="V125" s="140">
        <f t="shared" si="31"/>
        <v>0</v>
      </c>
      <c r="W125" s="140">
        <f t="shared" si="32"/>
        <v>0</v>
      </c>
    </row>
    <row r="126" spans="1:23" ht="18" customHeight="1" hidden="1">
      <c r="A126" s="19" t="s">
        <v>143</v>
      </c>
      <c r="B126" s="17" t="s">
        <v>720</v>
      </c>
      <c r="C126" s="27"/>
      <c r="D126" s="27" t="s">
        <v>719</v>
      </c>
      <c r="E126" s="27"/>
      <c r="F126" s="7">
        <f>F128</f>
        <v>2000</v>
      </c>
      <c r="G126" s="7">
        <f>G128</f>
        <v>2000</v>
      </c>
      <c r="H126" s="115">
        <f>IF(F126&gt;0,G126/F126*100,"")</f>
        <v>100</v>
      </c>
      <c r="I126" s="115" t="e">
        <f>F126/F256</f>
        <v>#REF!</v>
      </c>
      <c r="J126" s="7"/>
      <c r="K126" s="7">
        <f>K128</f>
        <v>0</v>
      </c>
      <c r="L126" s="7">
        <f>L128</f>
        <v>0</v>
      </c>
      <c r="M126" s="7">
        <f aca="true" t="shared" si="34" ref="M126:R126">M128+M129</f>
        <v>830</v>
      </c>
      <c r="N126" s="7">
        <f t="shared" si="34"/>
        <v>0</v>
      </c>
      <c r="O126" s="7">
        <f t="shared" si="34"/>
        <v>0</v>
      </c>
      <c r="P126" s="151">
        <f t="shared" si="34"/>
        <v>930</v>
      </c>
      <c r="Q126" s="151">
        <f t="shared" si="34"/>
        <v>0</v>
      </c>
      <c r="R126" s="151">
        <f t="shared" si="34"/>
        <v>0</v>
      </c>
      <c r="S126" s="151">
        <f>S128+S129+S127</f>
        <v>0</v>
      </c>
      <c r="T126" s="151">
        <f>T128+T129+T127</f>
        <v>0</v>
      </c>
      <c r="U126" s="139">
        <v>0</v>
      </c>
      <c r="V126" s="140">
        <f t="shared" si="31"/>
        <v>0</v>
      </c>
      <c r="W126" s="140">
        <f t="shared" si="32"/>
        <v>0</v>
      </c>
    </row>
    <row r="127" spans="1:23" ht="51.75" customHeight="1" hidden="1">
      <c r="A127" s="19"/>
      <c r="B127" s="11" t="s">
        <v>137</v>
      </c>
      <c r="C127" s="27"/>
      <c r="D127" s="31"/>
      <c r="E127" s="31" t="s">
        <v>308</v>
      </c>
      <c r="F127" s="20"/>
      <c r="G127" s="20"/>
      <c r="H127" s="132"/>
      <c r="I127" s="132"/>
      <c r="J127" s="20"/>
      <c r="K127" s="20"/>
      <c r="L127" s="20"/>
      <c r="M127" s="20"/>
      <c r="N127" s="20"/>
      <c r="O127" s="20"/>
      <c r="P127" s="325"/>
      <c r="Q127" s="325"/>
      <c r="R127" s="325"/>
      <c r="S127" s="325">
        <v>0</v>
      </c>
      <c r="T127" s="325">
        <v>0</v>
      </c>
      <c r="U127" s="139">
        <v>0</v>
      </c>
      <c r="V127" s="140">
        <f t="shared" si="31"/>
        <v>0</v>
      </c>
      <c r="W127" s="140">
        <f t="shared" si="32"/>
        <v>0</v>
      </c>
    </row>
    <row r="128" spans="1:23" ht="16.5" customHeight="1" hidden="1">
      <c r="A128" s="24"/>
      <c r="B128" s="11" t="s">
        <v>94</v>
      </c>
      <c r="C128" s="18"/>
      <c r="D128" s="18"/>
      <c r="E128" s="18" t="s">
        <v>306</v>
      </c>
      <c r="F128" s="8">
        <v>2000</v>
      </c>
      <c r="G128" s="8">
        <v>2000</v>
      </c>
      <c r="H128" s="121">
        <f>IF(F128&gt;0,G128/F128*100,"")</f>
        <v>100</v>
      </c>
      <c r="I128" s="121" t="e">
        <f>F128/F256</f>
        <v>#REF!</v>
      </c>
      <c r="J128" s="8"/>
      <c r="K128" s="8">
        <v>0</v>
      </c>
      <c r="L128" s="8">
        <v>0</v>
      </c>
      <c r="M128" s="8">
        <v>800</v>
      </c>
      <c r="N128" s="8">
        <v>0</v>
      </c>
      <c r="O128" s="8">
        <v>0</v>
      </c>
      <c r="P128" s="8">
        <v>900</v>
      </c>
      <c r="Q128" s="8">
        <v>0</v>
      </c>
      <c r="R128" s="8">
        <v>0</v>
      </c>
      <c r="S128" s="8">
        <v>0</v>
      </c>
      <c r="T128" s="8">
        <v>0</v>
      </c>
      <c r="U128" s="139">
        <v>0</v>
      </c>
      <c r="V128" s="140">
        <f t="shared" si="31"/>
        <v>0</v>
      </c>
      <c r="W128" s="140">
        <f t="shared" si="32"/>
        <v>0</v>
      </c>
    </row>
    <row r="129" spans="1:23" ht="16.5" customHeight="1" hidden="1">
      <c r="A129" s="24"/>
      <c r="B129" s="11" t="s">
        <v>127</v>
      </c>
      <c r="C129" s="18"/>
      <c r="D129" s="18"/>
      <c r="E129" s="18" t="s">
        <v>310</v>
      </c>
      <c r="F129" s="8"/>
      <c r="G129" s="8"/>
      <c r="H129" s="121"/>
      <c r="I129" s="121"/>
      <c r="J129" s="8"/>
      <c r="K129" s="8"/>
      <c r="L129" s="8"/>
      <c r="M129" s="8">
        <v>30</v>
      </c>
      <c r="N129" s="8">
        <v>0</v>
      </c>
      <c r="O129" s="8">
        <v>0</v>
      </c>
      <c r="P129" s="8">
        <v>30</v>
      </c>
      <c r="Q129" s="8">
        <v>0</v>
      </c>
      <c r="R129" s="8">
        <v>0</v>
      </c>
      <c r="S129" s="8">
        <v>0</v>
      </c>
      <c r="T129" s="8">
        <v>0</v>
      </c>
      <c r="U129" s="139">
        <v>0</v>
      </c>
      <c r="V129" s="140">
        <f t="shared" si="31"/>
        <v>0</v>
      </c>
      <c r="W129" s="140">
        <f t="shared" si="32"/>
        <v>0</v>
      </c>
    </row>
    <row r="130" spans="1:23" ht="16.5" customHeight="1">
      <c r="A130" s="19" t="s">
        <v>141</v>
      </c>
      <c r="B130" s="4" t="s">
        <v>918</v>
      </c>
      <c r="C130" s="18"/>
      <c r="D130" s="27" t="s">
        <v>596</v>
      </c>
      <c r="E130" s="27"/>
      <c r="F130" s="7"/>
      <c r="G130" s="7"/>
      <c r="H130" s="115"/>
      <c r="I130" s="115"/>
      <c r="J130" s="7"/>
      <c r="K130" s="7"/>
      <c r="L130" s="7"/>
      <c r="M130" s="7"/>
      <c r="N130" s="7"/>
      <c r="O130" s="7"/>
      <c r="P130" s="7"/>
      <c r="Q130" s="7"/>
      <c r="R130" s="7"/>
      <c r="S130" s="7">
        <f>S131+S132</f>
        <v>596</v>
      </c>
      <c r="T130" s="7">
        <f>T131+T132</f>
        <v>60</v>
      </c>
      <c r="U130" s="20">
        <f>U131+U132</f>
        <v>0</v>
      </c>
      <c r="V130" s="140">
        <f t="shared" si="31"/>
        <v>1.7065524628014513E-05</v>
      </c>
      <c r="W130" s="140">
        <f t="shared" si="32"/>
        <v>1.8295475217955521E-06</v>
      </c>
    </row>
    <row r="131" spans="1:23" ht="16.5" customHeight="1">
      <c r="A131" s="24"/>
      <c r="B131" s="11" t="s">
        <v>94</v>
      </c>
      <c r="C131" s="18"/>
      <c r="D131" s="18"/>
      <c r="E131" s="18" t="s">
        <v>306</v>
      </c>
      <c r="F131" s="8"/>
      <c r="G131" s="8"/>
      <c r="H131" s="121"/>
      <c r="I131" s="121"/>
      <c r="J131" s="8"/>
      <c r="K131" s="8"/>
      <c r="L131" s="8"/>
      <c r="M131" s="8"/>
      <c r="N131" s="8"/>
      <c r="O131" s="8"/>
      <c r="P131" s="8"/>
      <c r="Q131" s="8"/>
      <c r="R131" s="8"/>
      <c r="S131" s="8">
        <v>100</v>
      </c>
      <c r="T131" s="8">
        <v>60</v>
      </c>
      <c r="U131" s="139">
        <v>0</v>
      </c>
      <c r="V131" s="140">
        <f t="shared" si="31"/>
        <v>2.8633430583916967E-06</v>
      </c>
      <c r="W131" s="140">
        <f t="shared" si="32"/>
        <v>1.8295475217955521E-06</v>
      </c>
    </row>
    <row r="132" spans="1:23" ht="16.5" customHeight="1">
      <c r="A132" s="24"/>
      <c r="B132" s="11" t="s">
        <v>127</v>
      </c>
      <c r="C132" s="18"/>
      <c r="D132" s="18"/>
      <c r="E132" s="18" t="s">
        <v>310</v>
      </c>
      <c r="F132" s="8"/>
      <c r="G132" s="8"/>
      <c r="H132" s="121"/>
      <c r="I132" s="121"/>
      <c r="J132" s="8"/>
      <c r="K132" s="8"/>
      <c r="L132" s="8"/>
      <c r="M132" s="8"/>
      <c r="N132" s="8"/>
      <c r="O132" s="8"/>
      <c r="P132" s="8"/>
      <c r="Q132" s="8"/>
      <c r="R132" s="8"/>
      <c r="S132" s="8">
        <v>496</v>
      </c>
      <c r="T132" s="8">
        <v>0</v>
      </c>
      <c r="U132" s="139">
        <v>0</v>
      </c>
      <c r="V132" s="140">
        <f t="shared" si="31"/>
        <v>1.4202181569622817E-05</v>
      </c>
      <c r="W132" s="140">
        <f t="shared" si="32"/>
        <v>0</v>
      </c>
    </row>
    <row r="133" spans="1:23" ht="25.5" customHeight="1">
      <c r="A133" s="19">
        <v>10</v>
      </c>
      <c r="B133" s="4" t="s">
        <v>597</v>
      </c>
      <c r="C133" s="27" t="s">
        <v>700</v>
      </c>
      <c r="D133" s="27"/>
      <c r="E133" s="27"/>
      <c r="F133" s="7"/>
      <c r="G133" s="7"/>
      <c r="H133" s="115"/>
      <c r="I133" s="115"/>
      <c r="J133" s="7"/>
      <c r="K133" s="7"/>
      <c r="L133" s="7"/>
      <c r="M133" s="7"/>
      <c r="N133" s="7"/>
      <c r="O133" s="7"/>
      <c r="P133" s="7"/>
      <c r="Q133" s="7"/>
      <c r="R133" s="7"/>
      <c r="S133" s="7">
        <f>S134+S136</f>
        <v>21611</v>
      </c>
      <c r="T133" s="7">
        <f>T134+T136</f>
        <v>34701</v>
      </c>
      <c r="U133" s="132">
        <f t="shared" si="27"/>
        <v>160.57100550645504</v>
      </c>
      <c r="V133" s="133">
        <f t="shared" si="31"/>
        <v>0.0006187970683490296</v>
      </c>
      <c r="W133" s="133">
        <f t="shared" si="32"/>
        <v>0.0010581188092304576</v>
      </c>
    </row>
    <row r="134" spans="1:23" ht="15.75" customHeight="1">
      <c r="A134" s="51" t="s">
        <v>85</v>
      </c>
      <c r="B134" s="49" t="s">
        <v>144</v>
      </c>
      <c r="C134" s="303"/>
      <c r="D134" s="303" t="s">
        <v>715</v>
      </c>
      <c r="E134" s="303"/>
      <c r="F134" s="50">
        <f>F135</f>
        <v>19873</v>
      </c>
      <c r="G134" s="50">
        <f>G135</f>
        <v>20000</v>
      </c>
      <c r="H134" s="157">
        <f>G134/F134*100</f>
        <v>100.63905801841695</v>
      </c>
      <c r="I134" s="157" t="e">
        <f>F134/F264</f>
        <v>#DIV/0!</v>
      </c>
      <c r="J134" s="37"/>
      <c r="K134" s="50">
        <f aca="true" t="shared" si="35" ref="K134:T134">K135</f>
        <v>0</v>
      </c>
      <c r="L134" s="50">
        <f t="shared" si="35"/>
        <v>0</v>
      </c>
      <c r="M134" s="50">
        <f t="shared" si="35"/>
        <v>12412</v>
      </c>
      <c r="N134" s="50">
        <f t="shared" si="35"/>
        <v>0</v>
      </c>
      <c r="O134" s="50">
        <f t="shared" si="35"/>
        <v>0</v>
      </c>
      <c r="P134" s="306">
        <f t="shared" si="35"/>
        <v>12412</v>
      </c>
      <c r="Q134" s="306">
        <f t="shared" si="35"/>
        <v>0</v>
      </c>
      <c r="R134" s="306">
        <f t="shared" si="35"/>
        <v>0</v>
      </c>
      <c r="S134" s="306">
        <f t="shared" si="35"/>
        <v>20491</v>
      </c>
      <c r="T134" s="306">
        <f t="shared" si="35"/>
        <v>20491</v>
      </c>
      <c r="U134" s="468">
        <f t="shared" si="27"/>
        <v>100</v>
      </c>
      <c r="V134" s="435">
        <f aca="true" t="shared" si="36" ref="V134:V140">S134/$S$256</f>
        <v>0.0005867276260950426</v>
      </c>
      <c r="W134" s="435">
        <f aca="true" t="shared" si="37" ref="W134:W140">T134/$T$256</f>
        <v>0.0006248209711518777</v>
      </c>
    </row>
    <row r="135" spans="1:23" ht="17.25" customHeight="1">
      <c r="A135" s="24"/>
      <c r="B135" s="11" t="s">
        <v>127</v>
      </c>
      <c r="C135" s="18"/>
      <c r="D135" s="18"/>
      <c r="E135" s="18" t="s">
        <v>310</v>
      </c>
      <c r="F135" s="8">
        <v>19873</v>
      </c>
      <c r="G135" s="8">
        <v>20000</v>
      </c>
      <c r="H135" s="121">
        <f>G135/F135*100</f>
        <v>100.63905801841695</v>
      </c>
      <c r="I135" s="121" t="e">
        <f>F135/F264</f>
        <v>#DIV/0!</v>
      </c>
      <c r="K135" s="8">
        <v>0</v>
      </c>
      <c r="L135" s="8">
        <v>0</v>
      </c>
      <c r="M135" s="8">
        <v>12412</v>
      </c>
      <c r="N135" s="8">
        <v>0</v>
      </c>
      <c r="O135" s="8">
        <v>0</v>
      </c>
      <c r="P135" s="212">
        <v>12412</v>
      </c>
      <c r="Q135" s="212">
        <v>0</v>
      </c>
      <c r="R135" s="212">
        <v>0</v>
      </c>
      <c r="S135" s="212">
        <v>20491</v>
      </c>
      <c r="T135" s="8">
        <v>20491</v>
      </c>
      <c r="U135" s="132">
        <f t="shared" si="27"/>
        <v>100</v>
      </c>
      <c r="V135" s="133">
        <f t="shared" si="36"/>
        <v>0.0005867276260950426</v>
      </c>
      <c r="W135" s="133">
        <f t="shared" si="37"/>
        <v>0.0006248209711518777</v>
      </c>
    </row>
    <row r="136" spans="1:23" ht="18" customHeight="1">
      <c r="A136" s="19" t="s">
        <v>96</v>
      </c>
      <c r="B136" s="17" t="s">
        <v>720</v>
      </c>
      <c r="C136" s="27"/>
      <c r="D136" s="27" t="s">
        <v>719</v>
      </c>
      <c r="E136" s="27"/>
      <c r="F136" s="7">
        <f>F138</f>
        <v>2000</v>
      </c>
      <c r="G136" s="7">
        <f>G138</f>
        <v>2000</v>
      </c>
      <c r="H136" s="115">
        <f>IF(F136&gt;0,G136/F136*100,"")</f>
        <v>100</v>
      </c>
      <c r="I136" s="115" t="e">
        <f>F136/F264</f>
        <v>#DIV/0!</v>
      </c>
      <c r="J136" s="37"/>
      <c r="K136" s="7">
        <f>K138</f>
        <v>0</v>
      </c>
      <c r="L136" s="7">
        <f>L138</f>
        <v>0</v>
      </c>
      <c r="M136" s="7">
        <f aca="true" t="shared" si="38" ref="M136:R136">M138+M140</f>
        <v>830</v>
      </c>
      <c r="N136" s="7">
        <f t="shared" si="38"/>
        <v>0</v>
      </c>
      <c r="O136" s="7">
        <f t="shared" si="38"/>
        <v>0</v>
      </c>
      <c r="P136" s="271">
        <f t="shared" si="38"/>
        <v>930</v>
      </c>
      <c r="Q136" s="271">
        <f t="shared" si="38"/>
        <v>0</v>
      </c>
      <c r="R136" s="271">
        <f t="shared" si="38"/>
        <v>0</v>
      </c>
      <c r="S136" s="271">
        <f>S137+S139+S140</f>
        <v>1120</v>
      </c>
      <c r="T136" s="271">
        <f>T137+T139+T140</f>
        <v>14210</v>
      </c>
      <c r="U136" s="280">
        <f>U137+U139+U140</f>
        <v>1252.6785714285713</v>
      </c>
      <c r="V136" s="133">
        <f t="shared" si="36"/>
        <v>3.206944225398701E-05</v>
      </c>
      <c r="W136" s="133">
        <f t="shared" si="37"/>
        <v>0.0004332978380785799</v>
      </c>
    </row>
    <row r="137" spans="1:23" ht="25.5" customHeight="1">
      <c r="A137" s="19"/>
      <c r="B137" s="11" t="s">
        <v>102</v>
      </c>
      <c r="C137" s="27"/>
      <c r="D137" s="31"/>
      <c r="E137" s="31" t="s">
        <v>308</v>
      </c>
      <c r="F137" s="20"/>
      <c r="G137" s="20"/>
      <c r="H137" s="132"/>
      <c r="I137" s="132"/>
      <c r="J137" s="113"/>
      <c r="K137" s="20"/>
      <c r="L137" s="20"/>
      <c r="M137" s="20"/>
      <c r="N137" s="20"/>
      <c r="O137" s="20"/>
      <c r="P137" s="280"/>
      <c r="Q137" s="280"/>
      <c r="R137" s="280"/>
      <c r="S137" s="280">
        <v>0</v>
      </c>
      <c r="T137" s="280">
        <v>0</v>
      </c>
      <c r="U137" s="132">
        <v>0</v>
      </c>
      <c r="V137" s="133">
        <f t="shared" si="36"/>
        <v>0</v>
      </c>
      <c r="W137" s="133">
        <f t="shared" si="37"/>
        <v>0</v>
      </c>
    </row>
    <row r="138" spans="1:23" ht="16.5" customHeight="1" hidden="1">
      <c r="A138" s="24"/>
      <c r="B138" s="11" t="s">
        <v>94</v>
      </c>
      <c r="C138" s="18"/>
      <c r="D138" s="18"/>
      <c r="E138" s="18" t="s">
        <v>306</v>
      </c>
      <c r="F138" s="8">
        <v>2000</v>
      </c>
      <c r="G138" s="8">
        <v>2000</v>
      </c>
      <c r="H138" s="121">
        <f>IF(F138&gt;0,G138/F138*100,"")</f>
        <v>100</v>
      </c>
      <c r="I138" s="121" t="e">
        <f>F138/F264</f>
        <v>#DIV/0!</v>
      </c>
      <c r="K138" s="8">
        <v>0</v>
      </c>
      <c r="L138" s="8">
        <v>0</v>
      </c>
      <c r="M138" s="8">
        <v>800</v>
      </c>
      <c r="N138" s="8">
        <v>0</v>
      </c>
      <c r="O138" s="8">
        <v>0</v>
      </c>
      <c r="P138" s="212">
        <v>900</v>
      </c>
      <c r="Q138" s="212">
        <v>0</v>
      </c>
      <c r="R138" s="212">
        <v>0</v>
      </c>
      <c r="S138" s="212">
        <v>0</v>
      </c>
      <c r="T138" s="8">
        <v>0</v>
      </c>
      <c r="U138" s="132" t="e">
        <f t="shared" si="27"/>
        <v>#DIV/0!</v>
      </c>
      <c r="V138" s="133">
        <f t="shared" si="36"/>
        <v>0</v>
      </c>
      <c r="W138" s="133">
        <f t="shared" si="37"/>
        <v>0</v>
      </c>
    </row>
    <row r="139" spans="1:23" ht="16.5" customHeight="1">
      <c r="A139" s="24"/>
      <c r="B139" s="11" t="s">
        <v>94</v>
      </c>
      <c r="C139" s="18"/>
      <c r="D139" s="18"/>
      <c r="E139" s="18" t="s">
        <v>306</v>
      </c>
      <c r="F139" s="8"/>
      <c r="G139" s="8"/>
      <c r="H139" s="121"/>
      <c r="I139" s="121"/>
      <c r="K139" s="8"/>
      <c r="L139" s="8"/>
      <c r="M139" s="8"/>
      <c r="N139" s="8"/>
      <c r="O139" s="8"/>
      <c r="P139" s="212"/>
      <c r="Q139" s="212"/>
      <c r="R139" s="212"/>
      <c r="S139" s="212">
        <v>0</v>
      </c>
      <c r="T139" s="8">
        <v>180</v>
      </c>
      <c r="U139" s="132"/>
      <c r="V139" s="133"/>
      <c r="W139" s="133"/>
    </row>
    <row r="140" spans="1:23" ht="16.5" customHeight="1">
      <c r="A140" s="24"/>
      <c r="B140" s="11" t="s">
        <v>127</v>
      </c>
      <c r="C140" s="18"/>
      <c r="D140" s="18"/>
      <c r="E140" s="18" t="s">
        <v>310</v>
      </c>
      <c r="F140" s="8"/>
      <c r="G140" s="8"/>
      <c r="H140" s="121"/>
      <c r="I140" s="121"/>
      <c r="K140" s="8"/>
      <c r="L140" s="8"/>
      <c r="M140" s="8">
        <v>30</v>
      </c>
      <c r="N140" s="8">
        <v>0</v>
      </c>
      <c r="O140" s="8">
        <v>0</v>
      </c>
      <c r="P140" s="212">
        <v>30</v>
      </c>
      <c r="Q140" s="212">
        <v>0</v>
      </c>
      <c r="R140" s="212">
        <v>0</v>
      </c>
      <c r="S140" s="212">
        <v>1120</v>
      </c>
      <c r="T140" s="8">
        <v>14030</v>
      </c>
      <c r="U140" s="132">
        <f t="shared" si="27"/>
        <v>1252.6785714285713</v>
      </c>
      <c r="V140" s="133">
        <f t="shared" si="36"/>
        <v>3.206944225398701E-05</v>
      </c>
      <c r="W140" s="133">
        <f t="shared" si="37"/>
        <v>0.0004278091955131933</v>
      </c>
    </row>
    <row r="141" spans="1:23" ht="27.75" customHeight="1">
      <c r="A141" s="19">
        <v>11</v>
      </c>
      <c r="B141" s="125" t="s">
        <v>145</v>
      </c>
      <c r="C141" s="27" t="s">
        <v>722</v>
      </c>
      <c r="D141" s="18"/>
      <c r="E141" s="18"/>
      <c r="F141" s="8" t="e">
        <f>F142+F147+F151</f>
        <v>#REF!</v>
      </c>
      <c r="G141" s="7" t="e">
        <f>G142+G147+G151</f>
        <v>#REF!</v>
      </c>
      <c r="H141" s="115" t="e">
        <f>IF(F141&gt;0,G141/F141*100,"")</f>
        <v>#REF!</v>
      </c>
      <c r="I141" s="115" t="e">
        <f>F141/F256</f>
        <v>#REF!</v>
      </c>
      <c r="J141" s="37"/>
      <c r="K141" s="7" t="e">
        <f aca="true" t="shared" si="39" ref="K141:T141">K142+K147+K151</f>
        <v>#REF!</v>
      </c>
      <c r="L141" s="7" t="e">
        <f t="shared" si="39"/>
        <v>#REF!</v>
      </c>
      <c r="M141" s="7" t="e">
        <f t="shared" si="39"/>
        <v>#REF!</v>
      </c>
      <c r="N141" s="7" t="e">
        <f t="shared" si="39"/>
        <v>#REF!</v>
      </c>
      <c r="O141" s="7" t="e">
        <f t="shared" si="39"/>
        <v>#REF!</v>
      </c>
      <c r="P141" s="271">
        <f t="shared" si="39"/>
        <v>434163</v>
      </c>
      <c r="Q141" s="271">
        <f t="shared" si="39"/>
        <v>0</v>
      </c>
      <c r="R141" s="271">
        <f t="shared" si="39"/>
        <v>904</v>
      </c>
      <c r="S141" s="271">
        <f t="shared" si="39"/>
        <v>287048</v>
      </c>
      <c r="T141" s="271">
        <f t="shared" si="39"/>
        <v>316338</v>
      </c>
      <c r="U141" s="132">
        <f t="shared" si="27"/>
        <v>110.20386834257685</v>
      </c>
      <c r="V141" s="133">
        <f aca="true" t="shared" si="40" ref="V141:V167">S141/$S$256</f>
        <v>0.008219168982252199</v>
      </c>
      <c r="W141" s="133">
        <f aca="true" t="shared" si="41" ref="W141:W172">T141/$T$256</f>
        <v>0.00964592339916269</v>
      </c>
    </row>
    <row r="142" spans="1:23" ht="26.25" customHeight="1">
      <c r="A142" s="19" t="s">
        <v>85</v>
      </c>
      <c r="B142" s="4" t="s">
        <v>725</v>
      </c>
      <c r="C142" s="27"/>
      <c r="D142" s="27" t="s">
        <v>724</v>
      </c>
      <c r="E142" s="27"/>
      <c r="F142" s="7">
        <f>F143+F144+F145</f>
        <v>84355</v>
      </c>
      <c r="G142" s="7" t="e">
        <f>G143+G144+G145+#REF!</f>
        <v>#REF!</v>
      </c>
      <c r="H142" s="115" t="e">
        <f>IF(F142&gt;0,G142/F142*100,"")</f>
        <v>#REF!</v>
      </c>
      <c r="I142" s="115" t="e">
        <f>F142/F256</f>
        <v>#REF!</v>
      </c>
      <c r="J142" s="37"/>
      <c r="K142" s="7" t="e">
        <f>K143+K144+K145+#REF!</f>
        <v>#REF!</v>
      </c>
      <c r="L142" s="7" t="e">
        <f>L143+L144+L145+#REF!</f>
        <v>#REF!</v>
      </c>
      <c r="M142" s="7" t="e">
        <f>#REF!+M143+M144+M145+#REF!+M146</f>
        <v>#REF!</v>
      </c>
      <c r="N142" s="7" t="e">
        <f>#REF!+N143+N144+#REF!+N145+N146</f>
        <v>#REF!</v>
      </c>
      <c r="O142" s="7" t="e">
        <f>#REF!+O143+O144+#REF!+O145+O146</f>
        <v>#REF!</v>
      </c>
      <c r="P142" s="271">
        <f>P143+P144+P145+P146</f>
        <v>67100</v>
      </c>
      <c r="Q142" s="271">
        <f>Q143+Q144+Q145+Q146</f>
        <v>0</v>
      </c>
      <c r="R142" s="271">
        <f>R143+R144+R145+R146</f>
        <v>0</v>
      </c>
      <c r="S142" s="271">
        <f>S143+S144+S145+S146</f>
        <v>51836</v>
      </c>
      <c r="T142" s="271">
        <f>T143+T144</f>
        <v>71341</v>
      </c>
      <c r="U142" s="132">
        <f t="shared" si="27"/>
        <v>137.6282892198472</v>
      </c>
      <c r="V142" s="133">
        <f t="shared" si="40"/>
        <v>0.00148424250774792</v>
      </c>
      <c r="W142" s="133">
        <f t="shared" si="41"/>
        <v>0.002175362495873608</v>
      </c>
    </row>
    <row r="143" spans="1:23" ht="22.5" customHeight="1">
      <c r="A143" s="24"/>
      <c r="B143" s="11" t="s">
        <v>802</v>
      </c>
      <c r="C143" s="18"/>
      <c r="D143" s="18"/>
      <c r="E143" s="18" t="s">
        <v>801</v>
      </c>
      <c r="F143" s="8">
        <v>8195</v>
      </c>
      <c r="G143" s="8">
        <v>33775</v>
      </c>
      <c r="H143" s="121">
        <f>IF(F143&gt;0,G143/F143*100,"")</f>
        <v>412.1415497254423</v>
      </c>
      <c r="I143" s="121" t="e">
        <f>F143/F256</f>
        <v>#REF!</v>
      </c>
      <c r="K143" s="8">
        <v>0</v>
      </c>
      <c r="L143" s="8">
        <v>0</v>
      </c>
      <c r="M143" s="8">
        <v>20900</v>
      </c>
      <c r="N143" s="8">
        <v>0</v>
      </c>
      <c r="O143" s="8">
        <v>0</v>
      </c>
      <c r="P143" s="212">
        <v>18000</v>
      </c>
      <c r="Q143" s="212">
        <v>0</v>
      </c>
      <c r="R143" s="212">
        <v>0</v>
      </c>
      <c r="S143" s="212">
        <v>46800</v>
      </c>
      <c r="T143" s="8">
        <v>42700</v>
      </c>
      <c r="U143" s="132">
        <f t="shared" si="27"/>
        <v>91.23931623931624</v>
      </c>
      <c r="V143" s="133">
        <f t="shared" si="40"/>
        <v>0.0013400445513273142</v>
      </c>
      <c r="W143" s="133">
        <f t="shared" si="41"/>
        <v>0.0013020279863445012</v>
      </c>
    </row>
    <row r="144" spans="1:23" ht="24" customHeight="1">
      <c r="A144" s="24"/>
      <c r="B144" s="249" t="s">
        <v>387</v>
      </c>
      <c r="C144" s="18"/>
      <c r="D144" s="18"/>
      <c r="E144" s="18" t="s">
        <v>308</v>
      </c>
      <c r="F144" s="8">
        <v>60000</v>
      </c>
      <c r="G144" s="8">
        <v>66000</v>
      </c>
      <c r="H144" s="121">
        <f>IF(F144&gt;0,G144/F144*100,"")</f>
        <v>110.00000000000001</v>
      </c>
      <c r="I144" s="121" t="e">
        <f>F144/F256</f>
        <v>#REF!</v>
      </c>
      <c r="K144" s="8">
        <v>0</v>
      </c>
      <c r="L144" s="8">
        <v>0</v>
      </c>
      <c r="M144" s="8">
        <v>55000</v>
      </c>
      <c r="N144" s="8">
        <v>0</v>
      </c>
      <c r="O144" s="8">
        <v>0</v>
      </c>
      <c r="P144" s="212">
        <v>49000</v>
      </c>
      <c r="Q144" s="212">
        <v>0</v>
      </c>
      <c r="R144" s="212">
        <v>0</v>
      </c>
      <c r="S144" s="212">
        <v>5036</v>
      </c>
      <c r="T144" s="8">
        <v>28641</v>
      </c>
      <c r="U144" s="132">
        <f t="shared" si="27"/>
        <v>568.7251787132645</v>
      </c>
      <c r="V144" s="133">
        <f t="shared" si="40"/>
        <v>0.00014419795642060584</v>
      </c>
      <c r="W144" s="133">
        <f t="shared" si="41"/>
        <v>0.0008733345095291068</v>
      </c>
    </row>
    <row r="145" spans="1:23" ht="15" customHeight="1">
      <c r="A145" s="24"/>
      <c r="B145" s="11" t="s">
        <v>94</v>
      </c>
      <c r="C145" s="18"/>
      <c r="D145" s="18"/>
      <c r="E145" s="18" t="s">
        <v>306</v>
      </c>
      <c r="F145" s="8">
        <v>16160</v>
      </c>
      <c r="G145" s="8">
        <v>16748</v>
      </c>
      <c r="H145" s="121">
        <f>IF(F145&gt;0,G145/F145*100,"")</f>
        <v>103.63861386138613</v>
      </c>
      <c r="I145" s="121" t="e">
        <f>F145/F256</f>
        <v>#REF!</v>
      </c>
      <c r="K145" s="8">
        <v>0</v>
      </c>
      <c r="L145" s="8">
        <v>0</v>
      </c>
      <c r="M145" s="8">
        <v>700</v>
      </c>
      <c r="N145" s="8">
        <v>0</v>
      </c>
      <c r="O145" s="8">
        <v>0</v>
      </c>
      <c r="P145" s="212">
        <v>100</v>
      </c>
      <c r="Q145" s="212">
        <v>0</v>
      </c>
      <c r="R145" s="212">
        <v>0</v>
      </c>
      <c r="S145" s="212">
        <v>0</v>
      </c>
      <c r="T145" s="8">
        <v>200</v>
      </c>
      <c r="U145" s="132">
        <v>0</v>
      </c>
      <c r="V145" s="133">
        <f t="shared" si="40"/>
        <v>0</v>
      </c>
      <c r="W145" s="133">
        <f t="shared" si="41"/>
        <v>6.098491739318507E-06</v>
      </c>
    </row>
    <row r="146" spans="1:23" ht="14.25" customHeight="1">
      <c r="A146" s="24"/>
      <c r="B146" s="11" t="s">
        <v>127</v>
      </c>
      <c r="C146" s="18"/>
      <c r="D146" s="18"/>
      <c r="E146" s="18" t="s">
        <v>107</v>
      </c>
      <c r="F146" s="8"/>
      <c r="G146" s="8"/>
      <c r="H146" s="121"/>
      <c r="I146" s="121"/>
      <c r="K146" s="8"/>
      <c r="L146" s="8"/>
      <c r="M146" s="8">
        <v>200</v>
      </c>
      <c r="N146" s="8">
        <v>0</v>
      </c>
      <c r="O146" s="8">
        <v>0</v>
      </c>
      <c r="P146" s="212">
        <v>0</v>
      </c>
      <c r="Q146" s="212">
        <v>0</v>
      </c>
      <c r="R146" s="212">
        <v>0</v>
      </c>
      <c r="S146" s="212">
        <v>0</v>
      </c>
      <c r="T146" s="8">
        <v>15000</v>
      </c>
      <c r="U146" s="132">
        <v>0</v>
      </c>
      <c r="V146" s="133">
        <f t="shared" si="40"/>
        <v>0</v>
      </c>
      <c r="W146" s="133">
        <f t="shared" si="41"/>
        <v>0.000457386880448888</v>
      </c>
    </row>
    <row r="147" spans="1:23" ht="24.75" customHeight="1">
      <c r="A147" s="19" t="s">
        <v>96</v>
      </c>
      <c r="B147" s="4" t="s">
        <v>336</v>
      </c>
      <c r="C147" s="27"/>
      <c r="D147" s="27" t="s">
        <v>728</v>
      </c>
      <c r="E147" s="27"/>
      <c r="F147" s="7" t="e">
        <f>F148+F149+#REF!+F150</f>
        <v>#REF!</v>
      </c>
      <c r="G147" s="7" t="e">
        <f>G148+G149+#REF!+G150</f>
        <v>#REF!</v>
      </c>
      <c r="H147" s="115" t="e">
        <f aca="true" t="shared" si="42" ref="H147:H156">IF(F147&gt;0,G147/F147*100,"")</f>
        <v>#REF!</v>
      </c>
      <c r="I147" s="115" t="e">
        <f>F147/F256</f>
        <v>#REF!</v>
      </c>
      <c r="J147" s="37"/>
      <c r="K147" s="7" t="e">
        <f>K149+#REF!+K150</f>
        <v>#REF!</v>
      </c>
      <c r="L147" s="7" t="e">
        <f>L149+#REF!+L150</f>
        <v>#REF!</v>
      </c>
      <c r="M147" s="7" t="e">
        <f>M149+#REF!+M150</f>
        <v>#REF!</v>
      </c>
      <c r="N147" s="7" t="e">
        <f>N149+#REF!+N150</f>
        <v>#REF!</v>
      </c>
      <c r="O147" s="7" t="e">
        <f>O149+#REF!+O150</f>
        <v>#REF!</v>
      </c>
      <c r="P147" s="271">
        <f>P149+P150</f>
        <v>22890</v>
      </c>
      <c r="Q147" s="271">
        <f>Q149+Q150</f>
        <v>0</v>
      </c>
      <c r="R147" s="271">
        <f>R149+R150</f>
        <v>904</v>
      </c>
      <c r="S147" s="271">
        <f>S149+S150</f>
        <v>21112</v>
      </c>
      <c r="T147" s="271">
        <f>T149+T150</f>
        <v>9346</v>
      </c>
      <c r="U147" s="132">
        <f t="shared" si="27"/>
        <v>44.26866237211065</v>
      </c>
      <c r="V147" s="133">
        <f t="shared" si="40"/>
        <v>0.000604508986487655</v>
      </c>
      <c r="W147" s="133">
        <f t="shared" si="41"/>
        <v>0.0002849825189783538</v>
      </c>
    </row>
    <row r="148" spans="1:23" ht="16.5" customHeight="1" hidden="1">
      <c r="A148" s="24"/>
      <c r="B148" s="11" t="s">
        <v>98</v>
      </c>
      <c r="C148" s="18"/>
      <c r="D148" s="18"/>
      <c r="E148" s="18" t="s">
        <v>99</v>
      </c>
      <c r="F148" s="8">
        <v>10</v>
      </c>
      <c r="G148" s="8">
        <v>0</v>
      </c>
      <c r="H148" s="121">
        <f t="shared" si="42"/>
        <v>0</v>
      </c>
      <c r="I148" s="121" t="e">
        <f>F148/F256</f>
        <v>#REF!</v>
      </c>
      <c r="K148" s="8"/>
      <c r="L148" s="8"/>
      <c r="M148" s="8"/>
      <c r="N148" s="8"/>
      <c r="O148" s="8"/>
      <c r="P148" s="212"/>
      <c r="Q148" s="212"/>
      <c r="R148" s="212"/>
      <c r="S148" s="212"/>
      <c r="T148" s="8"/>
      <c r="U148" s="132" t="e">
        <f t="shared" si="27"/>
        <v>#DIV/0!</v>
      </c>
      <c r="V148" s="133">
        <f t="shared" si="40"/>
        <v>0</v>
      </c>
      <c r="W148" s="133">
        <f t="shared" si="41"/>
        <v>0</v>
      </c>
    </row>
    <row r="149" spans="1:23" ht="23.25" customHeight="1">
      <c r="A149" s="24"/>
      <c r="B149" s="249" t="s">
        <v>387</v>
      </c>
      <c r="C149" s="18"/>
      <c r="D149" s="18"/>
      <c r="E149" s="18" t="s">
        <v>308</v>
      </c>
      <c r="F149" s="8">
        <v>19580</v>
      </c>
      <c r="G149" s="8">
        <v>23550</v>
      </c>
      <c r="H149" s="121">
        <f t="shared" si="42"/>
        <v>120.27579162410622</v>
      </c>
      <c r="I149" s="121" t="e">
        <f>F149/F256</f>
        <v>#REF!</v>
      </c>
      <c r="K149" s="8">
        <v>0</v>
      </c>
      <c r="L149" s="8">
        <v>0</v>
      </c>
      <c r="M149" s="8">
        <v>22560</v>
      </c>
      <c r="N149" s="8">
        <v>0</v>
      </c>
      <c r="O149" s="8">
        <v>0</v>
      </c>
      <c r="P149" s="212">
        <v>22740</v>
      </c>
      <c r="Q149" s="212">
        <v>0</v>
      </c>
      <c r="R149" s="212">
        <v>760</v>
      </c>
      <c r="S149" s="212">
        <v>21012</v>
      </c>
      <c r="T149" s="8">
        <v>9246</v>
      </c>
      <c r="U149" s="132">
        <f t="shared" si="27"/>
        <v>44.00342661336379</v>
      </c>
      <c r="V149" s="133">
        <f t="shared" si="40"/>
        <v>0.0006016456434292634</v>
      </c>
      <c r="W149" s="133">
        <f t="shared" si="41"/>
        <v>0.00028193327310869457</v>
      </c>
    </row>
    <row r="150" spans="1:23" ht="16.5" customHeight="1">
      <c r="A150" s="24"/>
      <c r="B150" s="11" t="s">
        <v>104</v>
      </c>
      <c r="C150" s="18"/>
      <c r="D150" s="18"/>
      <c r="E150" s="18" t="s">
        <v>309</v>
      </c>
      <c r="F150" s="8">
        <v>1563</v>
      </c>
      <c r="G150" s="8">
        <v>1863</v>
      </c>
      <c r="H150" s="121">
        <f t="shared" si="42"/>
        <v>119.19385796545106</v>
      </c>
      <c r="I150" s="121" t="e">
        <f>F150/F256</f>
        <v>#REF!</v>
      </c>
      <c r="K150" s="8">
        <v>0</v>
      </c>
      <c r="L150" s="8">
        <v>0</v>
      </c>
      <c r="M150" s="8">
        <v>100</v>
      </c>
      <c r="N150" s="8">
        <v>0</v>
      </c>
      <c r="O150" s="8">
        <v>0</v>
      </c>
      <c r="P150" s="212">
        <v>150</v>
      </c>
      <c r="Q150" s="212">
        <v>0</v>
      </c>
      <c r="R150" s="212">
        <v>144</v>
      </c>
      <c r="S150" s="212">
        <v>100</v>
      </c>
      <c r="T150" s="8">
        <v>100</v>
      </c>
      <c r="U150" s="132">
        <f t="shared" si="27"/>
        <v>100</v>
      </c>
      <c r="V150" s="133">
        <f t="shared" si="40"/>
        <v>2.8633430583916967E-06</v>
      </c>
      <c r="W150" s="133">
        <f t="shared" si="41"/>
        <v>3.0492458696592536E-06</v>
      </c>
    </row>
    <row r="151" spans="1:23" ht="16.5" customHeight="1">
      <c r="A151" s="19" t="s">
        <v>139</v>
      </c>
      <c r="B151" s="4" t="s">
        <v>731</v>
      </c>
      <c r="C151" s="27"/>
      <c r="D151" s="27" t="s">
        <v>730</v>
      </c>
      <c r="E151" s="27"/>
      <c r="F151" s="7">
        <f>F152+F153</f>
        <v>21680</v>
      </c>
      <c r="G151" s="7">
        <f>G152+G153</f>
        <v>17100</v>
      </c>
      <c r="H151" s="115">
        <f t="shared" si="42"/>
        <v>78.87453874538745</v>
      </c>
      <c r="I151" s="115" t="e">
        <f>F151/F256</f>
        <v>#REF!</v>
      </c>
      <c r="J151" s="37"/>
      <c r="K151" s="7">
        <f>K152+K153</f>
        <v>0</v>
      </c>
      <c r="L151" s="7">
        <f>L152+L153</f>
        <v>0</v>
      </c>
      <c r="M151" s="7">
        <f>M152+M153+M156</f>
        <v>278260</v>
      </c>
      <c r="N151" s="7">
        <f>N152+N153+N156</f>
        <v>0</v>
      </c>
      <c r="O151" s="7">
        <f>O152+O153+O156</f>
        <v>0</v>
      </c>
      <c r="P151" s="271">
        <f>P152+P153+P156+P161+P162</f>
        <v>344173</v>
      </c>
      <c r="Q151" s="271">
        <f>Q152+Q153+Q156+Q161+Q162</f>
        <v>0</v>
      </c>
      <c r="R151" s="271">
        <f>R152+R153+R156+R161+R162</f>
        <v>0</v>
      </c>
      <c r="S151" s="271">
        <f>S152+S153+S161+S162</f>
        <v>214100</v>
      </c>
      <c r="T151" s="271">
        <f>T152+T153+T161+T162</f>
        <v>235651</v>
      </c>
      <c r="U151" s="132">
        <f t="shared" si="27"/>
        <v>110.06585707613266</v>
      </c>
      <c r="V151" s="133">
        <f t="shared" si="40"/>
        <v>0.006130417488016623</v>
      </c>
      <c r="W151" s="133">
        <f t="shared" si="41"/>
        <v>0.007185578384310727</v>
      </c>
    </row>
    <row r="152" spans="1:23" ht="23.25" customHeight="1">
      <c r="A152" s="24"/>
      <c r="B152" s="249" t="s">
        <v>102</v>
      </c>
      <c r="C152" s="18"/>
      <c r="D152" s="18"/>
      <c r="E152" s="18" t="s">
        <v>308</v>
      </c>
      <c r="F152" s="8">
        <v>19535</v>
      </c>
      <c r="G152" s="8">
        <v>14800</v>
      </c>
      <c r="H152" s="121">
        <f t="shared" si="42"/>
        <v>75.76145380087024</v>
      </c>
      <c r="I152" s="121" t="e">
        <f>F152/F256</f>
        <v>#REF!</v>
      </c>
      <c r="K152" s="8">
        <v>0</v>
      </c>
      <c r="L152" s="8">
        <v>0</v>
      </c>
      <c r="M152" s="8">
        <v>165726</v>
      </c>
      <c r="N152" s="8">
        <v>0</v>
      </c>
      <c r="O152" s="8">
        <v>0</v>
      </c>
      <c r="P152" s="212">
        <v>187501</v>
      </c>
      <c r="Q152" s="212">
        <v>0</v>
      </c>
      <c r="R152" s="212">
        <v>0</v>
      </c>
      <c r="S152" s="212">
        <v>107000</v>
      </c>
      <c r="T152" s="8">
        <v>145588</v>
      </c>
      <c r="U152" s="132">
        <f t="shared" si="27"/>
        <v>136.06355140186918</v>
      </c>
      <c r="V152" s="133">
        <f t="shared" si="40"/>
        <v>0.0030637770724791158</v>
      </c>
      <c r="W152" s="133">
        <f t="shared" si="41"/>
        <v>0.004439336076719514</v>
      </c>
    </row>
    <row r="153" spans="1:23" ht="16.5" customHeight="1">
      <c r="A153" s="24"/>
      <c r="B153" s="11" t="s">
        <v>104</v>
      </c>
      <c r="C153" s="18"/>
      <c r="D153" s="18"/>
      <c r="E153" s="18" t="s">
        <v>309</v>
      </c>
      <c r="F153" s="8">
        <v>2145</v>
      </c>
      <c r="G153" s="8">
        <v>2300</v>
      </c>
      <c r="H153" s="121">
        <f t="shared" si="42"/>
        <v>107.22610722610723</v>
      </c>
      <c r="I153" s="121" t="e">
        <f>F153/F256</f>
        <v>#REF!</v>
      </c>
      <c r="K153" s="8">
        <v>0</v>
      </c>
      <c r="L153" s="8">
        <v>0</v>
      </c>
      <c r="M153" s="8">
        <v>92012</v>
      </c>
      <c r="N153" s="8">
        <v>0</v>
      </c>
      <c r="O153" s="8">
        <v>0</v>
      </c>
      <c r="P153" s="212">
        <v>100384</v>
      </c>
      <c r="Q153" s="212">
        <v>0</v>
      </c>
      <c r="R153" s="212">
        <v>0</v>
      </c>
      <c r="S153" s="212">
        <v>92000</v>
      </c>
      <c r="T153" s="8">
        <v>86395</v>
      </c>
      <c r="U153" s="132">
        <f t="shared" si="27"/>
        <v>93.90760869565217</v>
      </c>
      <c r="V153" s="133">
        <f t="shared" si="40"/>
        <v>0.002634275613720361</v>
      </c>
      <c r="W153" s="133">
        <f t="shared" si="41"/>
        <v>0.002634395969092112</v>
      </c>
    </row>
    <row r="154" spans="1:23" ht="18.75" customHeight="1" hidden="1">
      <c r="A154" s="19" t="s">
        <v>63</v>
      </c>
      <c r="B154" s="125" t="s">
        <v>889</v>
      </c>
      <c r="C154" s="18" t="s">
        <v>743</v>
      </c>
      <c r="D154" s="18"/>
      <c r="E154" s="18"/>
      <c r="F154" s="8">
        <f>F155</f>
        <v>700</v>
      </c>
      <c r="G154" s="8">
        <f>G155</f>
        <v>0</v>
      </c>
      <c r="H154" s="121">
        <f t="shared" si="42"/>
        <v>0</v>
      </c>
      <c r="I154" s="121" t="e">
        <f>F154/F256</f>
        <v>#REF!</v>
      </c>
      <c r="K154" s="8"/>
      <c r="L154" s="8"/>
      <c r="M154" s="8"/>
      <c r="N154" s="8"/>
      <c r="O154" s="8"/>
      <c r="P154" s="212"/>
      <c r="Q154" s="212"/>
      <c r="R154" s="212"/>
      <c r="S154" s="212">
        <v>0</v>
      </c>
      <c r="T154" s="8"/>
      <c r="U154" s="132" t="e">
        <f t="shared" si="27"/>
        <v>#DIV/0!</v>
      </c>
      <c r="V154" s="133">
        <f t="shared" si="40"/>
        <v>0</v>
      </c>
      <c r="W154" s="133">
        <f t="shared" si="41"/>
        <v>0</v>
      </c>
    </row>
    <row r="155" spans="1:23" ht="19.5" customHeight="1" hidden="1">
      <c r="A155" s="24" t="s">
        <v>85</v>
      </c>
      <c r="B155" s="11" t="s">
        <v>556</v>
      </c>
      <c r="C155" s="18"/>
      <c r="D155" s="18" t="s">
        <v>748</v>
      </c>
      <c r="E155" s="18"/>
      <c r="F155" s="8">
        <f>F156</f>
        <v>700</v>
      </c>
      <c r="G155" s="8">
        <f>G156</f>
        <v>0</v>
      </c>
      <c r="H155" s="121">
        <f t="shared" si="42"/>
        <v>0</v>
      </c>
      <c r="I155" s="121" t="e">
        <f>F155/F256</f>
        <v>#REF!</v>
      </c>
      <c r="K155" s="8"/>
      <c r="L155" s="8"/>
      <c r="M155" s="8"/>
      <c r="N155" s="8"/>
      <c r="O155" s="8"/>
      <c r="P155" s="212"/>
      <c r="Q155" s="212"/>
      <c r="R155" s="212"/>
      <c r="S155" s="212">
        <v>0</v>
      </c>
      <c r="T155" s="8"/>
      <c r="U155" s="132" t="e">
        <f t="shared" si="27"/>
        <v>#DIV/0!</v>
      </c>
      <c r="V155" s="133">
        <f t="shared" si="40"/>
        <v>0</v>
      </c>
      <c r="W155" s="133">
        <f t="shared" si="41"/>
        <v>0</v>
      </c>
    </row>
    <row r="156" spans="1:23" ht="20.25" customHeight="1" hidden="1">
      <c r="A156" s="24"/>
      <c r="B156" s="11" t="s">
        <v>127</v>
      </c>
      <c r="C156" s="18"/>
      <c r="D156" s="18"/>
      <c r="E156" s="18" t="s">
        <v>107</v>
      </c>
      <c r="F156" s="8">
        <v>700</v>
      </c>
      <c r="G156" s="8">
        <v>0</v>
      </c>
      <c r="H156" s="121">
        <f t="shared" si="42"/>
        <v>0</v>
      </c>
      <c r="I156" s="121">
        <f>G156/F156*100</f>
        <v>0</v>
      </c>
      <c r="K156" s="8"/>
      <c r="L156" s="8"/>
      <c r="M156" s="8">
        <v>20522</v>
      </c>
      <c r="N156" s="8">
        <v>0</v>
      </c>
      <c r="O156" s="8">
        <v>0</v>
      </c>
      <c r="P156" s="212">
        <v>0</v>
      </c>
      <c r="Q156" s="212">
        <v>0</v>
      </c>
      <c r="R156" s="212">
        <v>0</v>
      </c>
      <c r="S156" s="212">
        <v>0</v>
      </c>
      <c r="T156" s="8"/>
      <c r="U156" s="132" t="e">
        <f aca="true" t="shared" si="43" ref="U156:U190">T156/S156*100</f>
        <v>#DIV/0!</v>
      </c>
      <c r="V156" s="133">
        <f t="shared" si="40"/>
        <v>0</v>
      </c>
      <c r="W156" s="133">
        <f t="shared" si="41"/>
        <v>0</v>
      </c>
    </row>
    <row r="157" spans="1:23" ht="19.5" customHeight="1" hidden="1">
      <c r="A157" s="24"/>
      <c r="B157" s="11"/>
      <c r="C157" s="18"/>
      <c r="D157" s="18"/>
      <c r="E157" s="18"/>
      <c r="F157" s="8"/>
      <c r="G157" s="8"/>
      <c r="H157" s="121"/>
      <c r="I157" s="121"/>
      <c r="K157" s="8"/>
      <c r="L157" s="8"/>
      <c r="M157" s="8"/>
      <c r="N157" s="8"/>
      <c r="O157" s="8"/>
      <c r="P157" s="212"/>
      <c r="Q157" s="212"/>
      <c r="R157" s="212"/>
      <c r="S157" s="212">
        <v>0</v>
      </c>
      <c r="T157" s="8"/>
      <c r="U157" s="132" t="e">
        <f t="shared" si="43"/>
        <v>#DIV/0!</v>
      </c>
      <c r="V157" s="133">
        <f t="shared" si="40"/>
        <v>0</v>
      </c>
      <c r="W157" s="133">
        <f t="shared" si="41"/>
        <v>0</v>
      </c>
    </row>
    <row r="158" spans="1:23" ht="18.75" customHeight="1" hidden="1">
      <c r="A158" s="19" t="s">
        <v>63</v>
      </c>
      <c r="B158" s="4" t="s">
        <v>889</v>
      </c>
      <c r="C158" s="27" t="s">
        <v>743</v>
      </c>
      <c r="D158" s="27"/>
      <c r="E158" s="27"/>
      <c r="F158" s="7"/>
      <c r="G158" s="7">
        <f>G159</f>
        <v>450</v>
      </c>
      <c r="H158" s="115"/>
      <c r="I158" s="115"/>
      <c r="J158" s="37"/>
      <c r="K158" s="7">
        <f aca="true" t="shared" si="44" ref="K158:M159">K159</f>
        <v>0</v>
      </c>
      <c r="L158" s="7">
        <f t="shared" si="44"/>
        <v>0</v>
      </c>
      <c r="M158" s="7">
        <f t="shared" si="44"/>
        <v>902</v>
      </c>
      <c r="N158" s="7">
        <f aca="true" t="shared" si="45" ref="N158:R159">N159</f>
        <v>0</v>
      </c>
      <c r="O158" s="7">
        <f t="shared" si="45"/>
        <v>0</v>
      </c>
      <c r="P158" s="271">
        <f t="shared" si="45"/>
        <v>0</v>
      </c>
      <c r="Q158" s="271">
        <f t="shared" si="45"/>
        <v>0</v>
      </c>
      <c r="R158" s="271">
        <f t="shared" si="45"/>
        <v>0</v>
      </c>
      <c r="S158" s="212">
        <v>0</v>
      </c>
      <c r="T158" s="8"/>
      <c r="U158" s="132" t="e">
        <f t="shared" si="43"/>
        <v>#DIV/0!</v>
      </c>
      <c r="V158" s="133">
        <f t="shared" si="40"/>
        <v>0</v>
      </c>
      <c r="W158" s="133">
        <f t="shared" si="41"/>
        <v>0</v>
      </c>
    </row>
    <row r="159" spans="1:23" ht="19.5" customHeight="1" hidden="1">
      <c r="A159" s="24" t="s">
        <v>85</v>
      </c>
      <c r="B159" s="11" t="s">
        <v>556</v>
      </c>
      <c r="C159" s="18"/>
      <c r="D159" s="27" t="s">
        <v>748</v>
      </c>
      <c r="E159" s="27"/>
      <c r="F159" s="7"/>
      <c r="G159" s="7">
        <f>G160</f>
        <v>450</v>
      </c>
      <c r="H159" s="115"/>
      <c r="I159" s="115"/>
      <c r="J159" s="37"/>
      <c r="K159" s="7">
        <f t="shared" si="44"/>
        <v>0</v>
      </c>
      <c r="L159" s="7">
        <f t="shared" si="44"/>
        <v>0</v>
      </c>
      <c r="M159" s="7">
        <f t="shared" si="44"/>
        <v>902</v>
      </c>
      <c r="N159" s="7">
        <f t="shared" si="45"/>
        <v>0</v>
      </c>
      <c r="O159" s="7">
        <f t="shared" si="45"/>
        <v>0</v>
      </c>
      <c r="P159" s="271">
        <f t="shared" si="45"/>
        <v>0</v>
      </c>
      <c r="Q159" s="271">
        <f t="shared" si="45"/>
        <v>0</v>
      </c>
      <c r="R159" s="271">
        <f t="shared" si="45"/>
        <v>0</v>
      </c>
      <c r="S159" s="212">
        <v>0</v>
      </c>
      <c r="T159" s="8"/>
      <c r="U159" s="132" t="e">
        <f t="shared" si="43"/>
        <v>#DIV/0!</v>
      </c>
      <c r="V159" s="133">
        <f t="shared" si="40"/>
        <v>0</v>
      </c>
      <c r="W159" s="133">
        <f t="shared" si="41"/>
        <v>0</v>
      </c>
    </row>
    <row r="160" spans="1:23" ht="19.5" customHeight="1" hidden="1">
      <c r="A160" s="24"/>
      <c r="B160" s="11" t="s">
        <v>127</v>
      </c>
      <c r="C160" s="18"/>
      <c r="D160" s="18"/>
      <c r="E160" s="18" t="s">
        <v>107</v>
      </c>
      <c r="F160" s="8"/>
      <c r="G160">
        <v>450</v>
      </c>
      <c r="H160" s="121"/>
      <c r="I160" s="121"/>
      <c r="K160" s="8">
        <v>0</v>
      </c>
      <c r="L160" s="8">
        <v>0</v>
      </c>
      <c r="M160" s="8">
        <v>902</v>
      </c>
      <c r="N160" s="8">
        <v>0</v>
      </c>
      <c r="O160" s="8">
        <v>0</v>
      </c>
      <c r="P160" s="212">
        <v>0</v>
      </c>
      <c r="Q160" s="212">
        <v>0</v>
      </c>
      <c r="R160" s="212">
        <v>0</v>
      </c>
      <c r="S160" s="212">
        <v>0</v>
      </c>
      <c r="T160" s="8"/>
      <c r="U160" s="132" t="e">
        <f t="shared" si="43"/>
        <v>#DIV/0!</v>
      </c>
      <c r="V160" s="133">
        <f t="shared" si="40"/>
        <v>0</v>
      </c>
      <c r="W160" s="133">
        <f t="shared" si="41"/>
        <v>0</v>
      </c>
    </row>
    <row r="161" spans="1:23" ht="15.75" customHeight="1">
      <c r="A161" s="24"/>
      <c r="B161" s="11" t="s">
        <v>94</v>
      </c>
      <c r="C161" s="18"/>
      <c r="D161" s="18"/>
      <c r="E161" s="18" t="s">
        <v>306</v>
      </c>
      <c r="F161" s="8"/>
      <c r="H161" s="121"/>
      <c r="I161" s="121"/>
      <c r="K161" s="8"/>
      <c r="L161" s="8"/>
      <c r="M161" s="8"/>
      <c r="N161" s="8"/>
      <c r="O161" s="8"/>
      <c r="P161" s="212">
        <v>4719</v>
      </c>
      <c r="Q161" s="212">
        <v>0</v>
      </c>
      <c r="R161" s="212">
        <v>0</v>
      </c>
      <c r="S161" s="212">
        <v>100</v>
      </c>
      <c r="T161" s="8">
        <v>200</v>
      </c>
      <c r="U161" s="132">
        <f t="shared" si="43"/>
        <v>200</v>
      </c>
      <c r="V161" s="133">
        <f t="shared" si="40"/>
        <v>2.8633430583916967E-06</v>
      </c>
      <c r="W161" s="133">
        <f t="shared" si="41"/>
        <v>6.098491739318507E-06</v>
      </c>
    </row>
    <row r="162" spans="1:23" ht="15.75" customHeight="1" thickBot="1">
      <c r="A162" s="48"/>
      <c r="B162" s="86" t="s">
        <v>127</v>
      </c>
      <c r="C162" s="128"/>
      <c r="D162" s="128"/>
      <c r="E162" s="128" t="s">
        <v>310</v>
      </c>
      <c r="F162" s="78"/>
      <c r="H162" s="302"/>
      <c r="I162" s="302"/>
      <c r="K162" s="78"/>
      <c r="L162" s="78"/>
      <c r="M162" s="78"/>
      <c r="N162" s="78"/>
      <c r="O162" s="78"/>
      <c r="P162" s="87">
        <v>51569</v>
      </c>
      <c r="Q162" s="87">
        <v>0</v>
      </c>
      <c r="R162" s="87">
        <v>0</v>
      </c>
      <c r="S162" s="87">
        <v>15000</v>
      </c>
      <c r="T162" s="78">
        <v>3468</v>
      </c>
      <c r="U162" s="139">
        <f t="shared" si="43"/>
        <v>23.119999999999997</v>
      </c>
      <c r="V162" s="140">
        <f t="shared" si="40"/>
        <v>0.0004295014587587545</v>
      </c>
      <c r="W162" s="140">
        <f t="shared" si="41"/>
        <v>0.00010574784675978291</v>
      </c>
    </row>
    <row r="163" spans="1:24" ht="29.25" customHeight="1" thickBot="1">
      <c r="A163" s="410" t="s">
        <v>815</v>
      </c>
      <c r="B163" s="389" t="s">
        <v>146</v>
      </c>
      <c r="C163" s="390"/>
      <c r="D163" s="390"/>
      <c r="E163" s="390"/>
      <c r="F163" s="391"/>
      <c r="G163" s="391" t="e">
        <f>#REF!</f>
        <v>#REF!</v>
      </c>
      <c r="H163" s="392"/>
      <c r="I163" s="392"/>
      <c r="J163" s="393"/>
      <c r="K163" s="391" t="e">
        <f>#REF!</f>
        <v>#REF!</v>
      </c>
      <c r="L163" s="391" t="e">
        <f>#REF!</f>
        <v>#REF!</v>
      </c>
      <c r="M163" s="391" t="e">
        <f>#REF!+#REF!</f>
        <v>#REF!</v>
      </c>
      <c r="N163" s="391" t="e">
        <f>#REF!+#REF!</f>
        <v>#REF!</v>
      </c>
      <c r="O163" s="391" t="e">
        <f>#REF!+#REF!</f>
        <v>#REF!</v>
      </c>
      <c r="P163" s="394" t="e">
        <f>#REF!+#REF!+#REF!</f>
        <v>#REF!</v>
      </c>
      <c r="Q163" s="394" t="e">
        <f>#REF!+#REF!+#REF!</f>
        <v>#REF!</v>
      </c>
      <c r="R163" s="394" t="e">
        <f>#REF!+#REF!+#REF!</f>
        <v>#REF!</v>
      </c>
      <c r="S163" s="394">
        <f>S164+S167+S173+S177</f>
        <v>8412839</v>
      </c>
      <c r="T163" s="394">
        <f>T164+T167+T173+T177</f>
        <v>5821419</v>
      </c>
      <c r="U163" s="507">
        <f t="shared" si="43"/>
        <v>69.19684306332262</v>
      </c>
      <c r="V163" s="496">
        <f t="shared" si="40"/>
        <v>0.24088844152016944</v>
      </c>
      <c r="W163" s="497">
        <f t="shared" si="41"/>
        <v>0.17750937841305903</v>
      </c>
      <c r="X163" s="345"/>
    </row>
    <row r="164" spans="1:23" s="388" customFormat="1" ht="15.75" customHeight="1" thickBot="1">
      <c r="A164" s="411" t="s">
        <v>903</v>
      </c>
      <c r="B164" s="397" t="s">
        <v>151</v>
      </c>
      <c r="C164" s="398" t="s">
        <v>500</v>
      </c>
      <c r="D164" s="398"/>
      <c r="E164" s="398"/>
      <c r="F164" s="396"/>
      <c r="G164" s="396"/>
      <c r="H164" s="399"/>
      <c r="I164" s="399"/>
      <c r="J164" s="396"/>
      <c r="K164" s="396"/>
      <c r="L164" s="396"/>
      <c r="M164" s="396"/>
      <c r="N164" s="396"/>
      <c r="O164" s="396"/>
      <c r="P164" s="400"/>
      <c r="Q164" s="400"/>
      <c r="R164" s="400"/>
      <c r="S164" s="400">
        <f>S165</f>
        <v>137048</v>
      </c>
      <c r="T164" s="400">
        <f>T165</f>
        <v>141159</v>
      </c>
      <c r="U164" s="139">
        <f t="shared" si="43"/>
        <v>102.99967894460336</v>
      </c>
      <c r="V164" s="508">
        <f t="shared" si="40"/>
        <v>0.0039241543946646525</v>
      </c>
      <c r="W164" s="497">
        <f t="shared" si="41"/>
        <v>0.0043042849771523055</v>
      </c>
    </row>
    <row r="165" spans="1:23" s="388" customFormat="1" ht="15.75" customHeight="1" thickBot="1">
      <c r="A165" s="412" t="s">
        <v>85</v>
      </c>
      <c r="B165" s="402" t="s">
        <v>287</v>
      </c>
      <c r="C165" s="403"/>
      <c r="D165" s="403" t="s">
        <v>288</v>
      </c>
      <c r="E165" s="403"/>
      <c r="F165" s="401"/>
      <c r="G165" s="401"/>
      <c r="H165" s="404"/>
      <c r="I165" s="404"/>
      <c r="J165" s="387"/>
      <c r="K165" s="401"/>
      <c r="L165" s="401"/>
      <c r="M165" s="401"/>
      <c r="N165" s="401"/>
      <c r="O165" s="401"/>
      <c r="P165" s="405"/>
      <c r="Q165" s="405"/>
      <c r="R165" s="405"/>
      <c r="S165" s="405">
        <f>S166</f>
        <v>137048</v>
      </c>
      <c r="T165" s="405">
        <f>T166</f>
        <v>141159</v>
      </c>
      <c r="U165" s="139">
        <f t="shared" si="43"/>
        <v>102.99967894460336</v>
      </c>
      <c r="V165" s="508">
        <f t="shared" si="40"/>
        <v>0.0039241543946646525</v>
      </c>
      <c r="W165" s="497">
        <f t="shared" si="41"/>
        <v>0.0043042849771523055</v>
      </c>
    </row>
    <row r="166" spans="1:23" s="388" customFormat="1" ht="24" customHeight="1">
      <c r="A166" s="412"/>
      <c r="B166" s="406" t="s">
        <v>838</v>
      </c>
      <c r="C166" s="403"/>
      <c r="D166" s="403"/>
      <c r="E166" s="407" t="s">
        <v>314</v>
      </c>
      <c r="F166" s="401"/>
      <c r="G166" s="401"/>
      <c r="H166" s="404"/>
      <c r="I166" s="404"/>
      <c r="J166" s="387"/>
      <c r="K166" s="401"/>
      <c r="L166" s="401"/>
      <c r="M166" s="401"/>
      <c r="N166" s="401"/>
      <c r="O166" s="401"/>
      <c r="P166" s="405"/>
      <c r="Q166" s="405"/>
      <c r="R166" s="405"/>
      <c r="S166" s="405">
        <v>137048</v>
      </c>
      <c r="T166" s="405">
        <v>141159</v>
      </c>
      <c r="U166" s="139">
        <f t="shared" si="43"/>
        <v>102.99967894460336</v>
      </c>
      <c r="V166" s="508">
        <f t="shared" si="40"/>
        <v>0.0039241543946646525</v>
      </c>
      <c r="W166" s="497">
        <f t="shared" si="41"/>
        <v>0.0043042849771523055</v>
      </c>
    </row>
    <row r="167" spans="1:23" ht="18" customHeight="1">
      <c r="A167" s="51" t="s">
        <v>904</v>
      </c>
      <c r="B167" s="49" t="s">
        <v>100</v>
      </c>
      <c r="C167" s="303" t="s">
        <v>504</v>
      </c>
      <c r="D167" s="303"/>
      <c r="E167" s="303"/>
      <c r="F167" s="50"/>
      <c r="G167" s="50"/>
      <c r="H167" s="157"/>
      <c r="I167" s="157"/>
      <c r="J167" s="37"/>
      <c r="K167" s="50"/>
      <c r="L167" s="50"/>
      <c r="M167" s="50"/>
      <c r="N167" s="50"/>
      <c r="O167" s="50"/>
      <c r="P167" s="306"/>
      <c r="Q167" s="306"/>
      <c r="R167" s="306"/>
      <c r="S167" s="306">
        <f>S168</f>
        <v>5309291</v>
      </c>
      <c r="T167" s="306">
        <f>T168</f>
        <v>2263760</v>
      </c>
      <c r="U167" s="468">
        <f>T167/S167*100</f>
        <v>42.63770812336337</v>
      </c>
      <c r="V167" s="508">
        <f t="shared" si="40"/>
        <v>0.1520232152983151</v>
      </c>
      <c r="W167" s="435">
        <f t="shared" si="41"/>
        <v>0.06902760829899832</v>
      </c>
    </row>
    <row r="168" spans="1:23" s="37" customFormat="1" ht="15" customHeight="1">
      <c r="A168" s="19" t="s">
        <v>85</v>
      </c>
      <c r="B168" s="4" t="s">
        <v>411</v>
      </c>
      <c r="C168" s="27"/>
      <c r="D168" s="27" t="s">
        <v>506</v>
      </c>
      <c r="E168" s="27"/>
      <c r="F168" s="7"/>
      <c r="G168" s="7"/>
      <c r="H168" s="115"/>
      <c r="I168" s="115"/>
      <c r="K168" s="7"/>
      <c r="L168" s="7"/>
      <c r="M168" s="7"/>
      <c r="N168" s="7"/>
      <c r="O168" s="7"/>
      <c r="P168" s="271"/>
      <c r="Q168" s="271"/>
      <c r="R168" s="271"/>
      <c r="S168" s="271">
        <f>S169+S170+S171+S172</f>
        <v>5309291</v>
      </c>
      <c r="T168" s="271">
        <f>T169+T170+T171+T172</f>
        <v>2263760</v>
      </c>
      <c r="U168" s="132">
        <f>T168/S168*100</f>
        <v>42.63770812336337</v>
      </c>
      <c r="V168" s="133">
        <f aca="true" t="shared" si="46" ref="V168:V180">S168/$S$256</f>
        <v>0.1520232152983151</v>
      </c>
      <c r="W168" s="133">
        <f t="shared" si="41"/>
        <v>0.06902760829899832</v>
      </c>
    </row>
    <row r="169" spans="1:23" ht="24.75" customHeight="1">
      <c r="A169" s="21"/>
      <c r="B169" s="11" t="s">
        <v>388</v>
      </c>
      <c r="C169" s="31"/>
      <c r="D169" s="31"/>
      <c r="E169" s="31" t="s">
        <v>920</v>
      </c>
      <c r="F169" s="20"/>
      <c r="G169" s="20"/>
      <c r="H169" s="132"/>
      <c r="I169" s="132"/>
      <c r="J169" s="113"/>
      <c r="K169" s="20"/>
      <c r="L169" s="20"/>
      <c r="M169" s="20"/>
      <c r="N169" s="20"/>
      <c r="O169" s="20"/>
      <c r="P169" s="280"/>
      <c r="Q169" s="280"/>
      <c r="R169" s="280"/>
      <c r="S169" s="280">
        <v>1954878</v>
      </c>
      <c r="T169" s="280">
        <v>1988005</v>
      </c>
      <c r="U169" s="132">
        <f>T169/S169*100</f>
        <v>101.69458145214176</v>
      </c>
      <c r="V169" s="133">
        <f t="shared" si="46"/>
        <v>0.055974863513026434</v>
      </c>
      <c r="W169" s="133">
        <f t="shared" si="41"/>
        <v>0.060619160351119444</v>
      </c>
    </row>
    <row r="170" spans="1:23" ht="24" customHeight="1">
      <c r="A170" s="21"/>
      <c r="B170" s="11" t="s">
        <v>389</v>
      </c>
      <c r="C170" s="31"/>
      <c r="D170" s="31"/>
      <c r="E170" s="31" t="s">
        <v>272</v>
      </c>
      <c r="F170" s="20"/>
      <c r="G170" s="20"/>
      <c r="H170" s="132"/>
      <c r="I170" s="132"/>
      <c r="J170" s="113"/>
      <c r="K170" s="20"/>
      <c r="L170" s="20"/>
      <c r="M170" s="20"/>
      <c r="N170" s="20"/>
      <c r="O170" s="20"/>
      <c r="P170" s="280"/>
      <c r="Q170" s="280"/>
      <c r="R170" s="280"/>
      <c r="S170" s="280">
        <v>0</v>
      </c>
      <c r="T170" s="280">
        <v>275755</v>
      </c>
      <c r="U170" s="132">
        <v>0</v>
      </c>
      <c r="V170" s="133">
        <f t="shared" si="46"/>
        <v>0</v>
      </c>
      <c r="W170" s="133">
        <f t="shared" si="41"/>
        <v>0.008408447947878874</v>
      </c>
    </row>
    <row r="171" spans="1:23" ht="24" customHeight="1">
      <c r="A171" s="21"/>
      <c r="B171" s="11" t="s">
        <v>389</v>
      </c>
      <c r="C171" s="31"/>
      <c r="D171" s="31"/>
      <c r="E171" s="31" t="s">
        <v>919</v>
      </c>
      <c r="F171" s="20"/>
      <c r="G171" s="20"/>
      <c r="H171" s="132"/>
      <c r="I171" s="132"/>
      <c r="J171" s="113"/>
      <c r="K171" s="20"/>
      <c r="L171" s="20"/>
      <c r="M171" s="20"/>
      <c r="N171" s="20"/>
      <c r="O171" s="20"/>
      <c r="P171" s="280"/>
      <c r="Q171" s="280"/>
      <c r="R171" s="280"/>
      <c r="S171" s="280">
        <v>704477</v>
      </c>
      <c r="T171" s="280">
        <v>0</v>
      </c>
      <c r="U171" s="132">
        <v>0</v>
      </c>
      <c r="V171" s="133">
        <f t="shared" si="46"/>
        <v>0.020171593277466076</v>
      </c>
      <c r="W171" s="133">
        <f t="shared" si="41"/>
        <v>0</v>
      </c>
    </row>
    <row r="172" spans="1:23" ht="24" customHeight="1">
      <c r="A172" s="21"/>
      <c r="B172" s="11" t="s">
        <v>389</v>
      </c>
      <c r="C172" s="31"/>
      <c r="D172" s="31"/>
      <c r="E172" s="31" t="s">
        <v>655</v>
      </c>
      <c r="F172" s="20"/>
      <c r="G172" s="20"/>
      <c r="H172" s="132"/>
      <c r="I172" s="132"/>
      <c r="J172" s="113"/>
      <c r="K172" s="20"/>
      <c r="L172" s="20"/>
      <c r="M172" s="20"/>
      <c r="N172" s="20"/>
      <c r="O172" s="20"/>
      <c r="P172" s="280"/>
      <c r="Q172" s="280"/>
      <c r="R172" s="280"/>
      <c r="S172" s="280">
        <v>2649936</v>
      </c>
      <c r="T172" s="280">
        <v>0</v>
      </c>
      <c r="U172" s="132">
        <v>0</v>
      </c>
      <c r="V172" s="133">
        <f t="shared" si="46"/>
        <v>0.07587675850782259</v>
      </c>
      <c r="W172" s="133">
        <f t="shared" si="41"/>
        <v>0</v>
      </c>
    </row>
    <row r="173" spans="1:23" s="37" customFormat="1" ht="13.5" customHeight="1">
      <c r="A173" s="19" t="s">
        <v>906</v>
      </c>
      <c r="B173" s="4" t="s">
        <v>140</v>
      </c>
      <c r="C173" s="27" t="s">
        <v>678</v>
      </c>
      <c r="D173" s="27"/>
      <c r="E173" s="27"/>
      <c r="F173" s="7"/>
      <c r="G173" s="7"/>
      <c r="H173" s="115"/>
      <c r="I173" s="115"/>
      <c r="K173" s="7"/>
      <c r="L173" s="7"/>
      <c r="M173" s="7"/>
      <c r="N173" s="7"/>
      <c r="O173" s="7"/>
      <c r="P173" s="271"/>
      <c r="Q173" s="271"/>
      <c r="R173" s="271"/>
      <c r="S173" s="271">
        <f>S174</f>
        <v>2966500</v>
      </c>
      <c r="T173" s="271">
        <f>T174</f>
        <v>2966500</v>
      </c>
      <c r="U173" s="133">
        <f>T173/S173</f>
        <v>1</v>
      </c>
      <c r="V173" s="133">
        <f t="shared" si="46"/>
        <v>0.08494107182718968</v>
      </c>
      <c r="W173" s="133">
        <f aca="true" t="shared" si="47" ref="W173:W206">T173/$T$256</f>
        <v>0.09045587872344175</v>
      </c>
    </row>
    <row r="174" spans="1:23" s="37" customFormat="1" ht="16.5" customHeight="1">
      <c r="A174" s="19" t="s">
        <v>85</v>
      </c>
      <c r="B174" s="4" t="s">
        <v>681</v>
      </c>
      <c r="C174" s="27"/>
      <c r="D174" s="27" t="s">
        <v>680</v>
      </c>
      <c r="E174" s="27"/>
      <c r="F174" s="7"/>
      <c r="G174" s="7"/>
      <c r="H174" s="115"/>
      <c r="I174" s="115"/>
      <c r="K174" s="7"/>
      <c r="L174" s="7"/>
      <c r="M174" s="7"/>
      <c r="N174" s="7"/>
      <c r="O174" s="7"/>
      <c r="P174" s="271"/>
      <c r="Q174" s="271"/>
      <c r="R174" s="271"/>
      <c r="S174" s="271">
        <f>S175+S176</f>
        <v>2966500</v>
      </c>
      <c r="T174" s="271">
        <f>T175+T176</f>
        <v>2966500</v>
      </c>
      <c r="U174" s="133">
        <f>T174/S174</f>
        <v>1</v>
      </c>
      <c r="V174" s="133">
        <f t="shared" si="46"/>
        <v>0.08494107182718968</v>
      </c>
      <c r="W174" s="133">
        <f t="shared" si="47"/>
        <v>0.09045587872344175</v>
      </c>
    </row>
    <row r="175" spans="1:23" ht="24" customHeight="1">
      <c r="A175" s="21"/>
      <c r="B175" s="11" t="s">
        <v>389</v>
      </c>
      <c r="C175" s="31"/>
      <c r="D175" s="31"/>
      <c r="E175" s="31" t="s">
        <v>920</v>
      </c>
      <c r="F175" s="20"/>
      <c r="G175" s="20"/>
      <c r="H175" s="132"/>
      <c r="I175" s="132"/>
      <c r="J175" s="113"/>
      <c r="K175" s="20"/>
      <c r="L175" s="20"/>
      <c r="M175" s="20"/>
      <c r="N175" s="20"/>
      <c r="O175" s="20"/>
      <c r="P175" s="280"/>
      <c r="Q175" s="280"/>
      <c r="R175" s="280"/>
      <c r="S175" s="280">
        <v>2617500</v>
      </c>
      <c r="T175" s="280">
        <v>2617500</v>
      </c>
      <c r="U175" s="133">
        <f>T175/S175</f>
        <v>1</v>
      </c>
      <c r="V175" s="133">
        <f t="shared" si="46"/>
        <v>0.07494800455340267</v>
      </c>
      <c r="W175" s="133">
        <f t="shared" si="47"/>
        <v>0.07981401063833096</v>
      </c>
    </row>
    <row r="176" spans="1:23" ht="21.75" customHeight="1">
      <c r="A176" s="21"/>
      <c r="B176" s="11" t="s">
        <v>389</v>
      </c>
      <c r="C176" s="31"/>
      <c r="D176" s="31"/>
      <c r="E176" s="31" t="s">
        <v>272</v>
      </c>
      <c r="F176" s="20"/>
      <c r="G176" s="20"/>
      <c r="H176" s="132"/>
      <c r="I176" s="132"/>
      <c r="J176" s="113"/>
      <c r="K176" s="20"/>
      <c r="L176" s="20"/>
      <c r="M176" s="20"/>
      <c r="N176" s="20"/>
      <c r="O176" s="20"/>
      <c r="P176" s="280"/>
      <c r="Q176" s="280"/>
      <c r="R176" s="280"/>
      <c r="S176" s="280">
        <v>349000</v>
      </c>
      <c r="T176" s="280">
        <v>349000</v>
      </c>
      <c r="U176" s="133">
        <f>T176/S176</f>
        <v>1</v>
      </c>
      <c r="V176" s="133">
        <f t="shared" si="46"/>
        <v>0.009993067273787022</v>
      </c>
      <c r="W176" s="133">
        <f t="shared" si="47"/>
        <v>0.010641868085110794</v>
      </c>
    </row>
    <row r="177" spans="1:23" s="37" customFormat="1" ht="30.75" customHeight="1">
      <c r="A177" s="19" t="s">
        <v>908</v>
      </c>
      <c r="B177" s="4" t="s">
        <v>145</v>
      </c>
      <c r="C177" s="27" t="s">
        <v>722</v>
      </c>
      <c r="D177" s="27"/>
      <c r="E177" s="27"/>
      <c r="F177" s="7"/>
      <c r="G177" s="7"/>
      <c r="H177" s="115"/>
      <c r="I177" s="115"/>
      <c r="K177" s="7"/>
      <c r="L177" s="7"/>
      <c r="M177" s="7"/>
      <c r="N177" s="7"/>
      <c r="O177" s="7"/>
      <c r="P177" s="271"/>
      <c r="Q177" s="271"/>
      <c r="R177" s="271"/>
      <c r="S177" s="271">
        <f>S178</f>
        <v>0</v>
      </c>
      <c r="T177" s="271">
        <f>T178</f>
        <v>450000</v>
      </c>
      <c r="U177" s="133">
        <v>0</v>
      </c>
      <c r="V177" s="133">
        <f t="shared" si="46"/>
        <v>0</v>
      </c>
      <c r="W177" s="133">
        <f t="shared" si="47"/>
        <v>0.01372160641346664</v>
      </c>
    </row>
    <row r="178" spans="1:23" s="37" customFormat="1" ht="15.75" customHeight="1">
      <c r="A178" s="19" t="s">
        <v>85</v>
      </c>
      <c r="B178" s="4" t="s">
        <v>731</v>
      </c>
      <c r="C178" s="27"/>
      <c r="D178" s="27" t="s">
        <v>730</v>
      </c>
      <c r="E178" s="27"/>
      <c r="F178" s="7"/>
      <c r="G178" s="7"/>
      <c r="H178" s="115"/>
      <c r="I178" s="115"/>
      <c r="K178" s="7"/>
      <c r="L178" s="7"/>
      <c r="M178" s="7"/>
      <c r="N178" s="7"/>
      <c r="O178" s="7"/>
      <c r="P178" s="271"/>
      <c r="Q178" s="271"/>
      <c r="R178" s="271"/>
      <c r="S178" s="271">
        <f>S179+S180</f>
        <v>0</v>
      </c>
      <c r="T178" s="271">
        <f>T179+T180</f>
        <v>450000</v>
      </c>
      <c r="U178" s="133">
        <v>0</v>
      </c>
      <c r="V178" s="133">
        <f t="shared" si="46"/>
        <v>0</v>
      </c>
      <c r="W178" s="133">
        <f t="shared" si="47"/>
        <v>0.01372160641346664</v>
      </c>
    </row>
    <row r="179" spans="1:23" s="37" customFormat="1" ht="24" customHeight="1">
      <c r="A179" s="19"/>
      <c r="B179" s="11" t="s">
        <v>921</v>
      </c>
      <c r="C179" s="27"/>
      <c r="D179" s="27"/>
      <c r="E179" s="31" t="s">
        <v>273</v>
      </c>
      <c r="F179" s="7"/>
      <c r="G179" s="7"/>
      <c r="H179" s="115"/>
      <c r="I179" s="115"/>
      <c r="K179" s="7"/>
      <c r="L179" s="7"/>
      <c r="M179" s="7"/>
      <c r="N179" s="7"/>
      <c r="O179" s="7"/>
      <c r="P179" s="271"/>
      <c r="Q179" s="271"/>
      <c r="R179" s="271"/>
      <c r="S179" s="280">
        <v>0</v>
      </c>
      <c r="T179" s="280">
        <v>450000</v>
      </c>
      <c r="U179" s="133">
        <v>0</v>
      </c>
      <c r="V179" s="133">
        <f t="shared" si="46"/>
        <v>0</v>
      </c>
      <c r="W179" s="133">
        <f t="shared" si="47"/>
        <v>0.01372160641346664</v>
      </c>
    </row>
    <row r="180" spans="1:23" ht="24" customHeight="1" thickBot="1">
      <c r="A180" s="21"/>
      <c r="B180" s="11" t="s">
        <v>921</v>
      </c>
      <c r="C180" s="31"/>
      <c r="D180" s="31"/>
      <c r="E180" s="31" t="s">
        <v>92</v>
      </c>
      <c r="F180" s="20"/>
      <c r="G180" s="20"/>
      <c r="H180" s="132"/>
      <c r="I180" s="132"/>
      <c r="J180" s="113"/>
      <c r="K180" s="20"/>
      <c r="L180" s="20"/>
      <c r="M180" s="20"/>
      <c r="N180" s="20"/>
      <c r="O180" s="20"/>
      <c r="P180" s="280"/>
      <c r="Q180" s="280"/>
      <c r="R180" s="280"/>
      <c r="S180" s="280">
        <v>0</v>
      </c>
      <c r="T180" s="280">
        <v>0</v>
      </c>
      <c r="U180" s="133">
        <v>0</v>
      </c>
      <c r="V180" s="133">
        <f t="shared" si="46"/>
        <v>0</v>
      </c>
      <c r="W180" s="133">
        <f t="shared" si="47"/>
        <v>0</v>
      </c>
    </row>
    <row r="181" spans="1:23" ht="54" customHeight="1" thickBot="1">
      <c r="A181" s="346" t="s">
        <v>337</v>
      </c>
      <c r="B181" s="413" t="s">
        <v>922</v>
      </c>
      <c r="C181" s="347"/>
      <c r="D181" s="348"/>
      <c r="E181" s="348"/>
      <c r="F181" s="349"/>
      <c r="G181" s="350"/>
      <c r="H181" s="343"/>
      <c r="I181" s="351"/>
      <c r="J181" s="344"/>
      <c r="K181" s="342"/>
      <c r="L181" s="342"/>
      <c r="M181" s="342"/>
      <c r="N181" s="342"/>
      <c r="O181" s="342"/>
      <c r="P181" s="352" t="e">
        <f>P182+#REF!+P193</f>
        <v>#REF!</v>
      </c>
      <c r="Q181" s="352" t="e">
        <f>Q182+#REF!+Q193</f>
        <v>#REF!</v>
      </c>
      <c r="R181" s="352" t="e">
        <f>R182+#REF!+R193</f>
        <v>#REF!</v>
      </c>
      <c r="S181" s="352">
        <f>S182+S186+S191+S193+S200+S203+S210</f>
        <v>1731169</v>
      </c>
      <c r="T181" s="352">
        <f>T182+T186+T191+T193+T200+T203+T210</f>
        <v>1338062</v>
      </c>
      <c r="U181" s="500">
        <f t="shared" si="43"/>
        <v>77.29239606300715</v>
      </c>
      <c r="V181" s="501">
        <f aca="true" t="shared" si="48" ref="V181:V218">S181/$S$256</f>
        <v>0.049569307390528956</v>
      </c>
      <c r="W181" s="502">
        <f t="shared" si="47"/>
        <v>0.04080080026848</v>
      </c>
    </row>
    <row r="182" spans="1:23" ht="20.25" customHeight="1" thickBot="1">
      <c r="A182" s="51" t="s">
        <v>903</v>
      </c>
      <c r="B182" s="49" t="s">
        <v>100</v>
      </c>
      <c r="C182" s="146">
        <v>600</v>
      </c>
      <c r="D182" s="143"/>
      <c r="E182" s="143"/>
      <c r="F182" s="144"/>
      <c r="G182" s="118"/>
      <c r="H182" s="157"/>
      <c r="I182" s="116"/>
      <c r="J182" s="145"/>
      <c r="K182" s="50"/>
      <c r="L182" s="50"/>
      <c r="M182" s="50"/>
      <c r="N182" s="50"/>
      <c r="O182" s="50"/>
      <c r="P182" s="283">
        <f aca="true" t="shared" si="49" ref="P182:T183">P183</f>
        <v>60000</v>
      </c>
      <c r="Q182" s="283">
        <f t="shared" si="49"/>
        <v>0</v>
      </c>
      <c r="R182" s="283">
        <f t="shared" si="49"/>
        <v>0</v>
      </c>
      <c r="S182" s="283">
        <f t="shared" si="49"/>
        <v>228393</v>
      </c>
      <c r="T182" s="486">
        <f t="shared" si="49"/>
        <v>163000</v>
      </c>
      <c r="U182" s="492">
        <f t="shared" si="43"/>
        <v>71.36821181034445</v>
      </c>
      <c r="V182" s="503">
        <f t="shared" si="48"/>
        <v>0.006539675111352548</v>
      </c>
      <c r="W182" s="435">
        <f t="shared" si="47"/>
        <v>0.004970270767544583</v>
      </c>
    </row>
    <row r="183" spans="1:23" ht="17.25" customHeight="1" thickBot="1">
      <c r="A183" s="19" t="s">
        <v>85</v>
      </c>
      <c r="B183" s="4" t="s">
        <v>101</v>
      </c>
      <c r="C183" s="142"/>
      <c r="D183" s="143">
        <v>60014</v>
      </c>
      <c r="E183" s="143"/>
      <c r="F183" s="144"/>
      <c r="G183" s="122"/>
      <c r="H183" s="115"/>
      <c r="I183" s="116"/>
      <c r="J183" s="145"/>
      <c r="K183" s="7"/>
      <c r="L183" s="7"/>
      <c r="M183" s="7"/>
      <c r="N183" s="7"/>
      <c r="O183" s="7"/>
      <c r="P183" s="212">
        <f t="shared" si="49"/>
        <v>60000</v>
      </c>
      <c r="Q183" s="212">
        <f t="shared" si="49"/>
        <v>0</v>
      </c>
      <c r="R183" s="212">
        <f t="shared" si="49"/>
        <v>0</v>
      </c>
      <c r="S183" s="272">
        <f>S184+S185</f>
        <v>228393</v>
      </c>
      <c r="T183" s="487">
        <f>T184+T185</f>
        <v>163000</v>
      </c>
      <c r="U183" s="492">
        <f t="shared" si="43"/>
        <v>71.36821181034445</v>
      </c>
      <c r="V183" s="489">
        <f t="shared" si="48"/>
        <v>0.006539675111352548</v>
      </c>
      <c r="W183" s="133">
        <f t="shared" si="47"/>
        <v>0.004970270767544583</v>
      </c>
    </row>
    <row r="184" spans="1:23" ht="25.5" customHeight="1" thickBot="1">
      <c r="A184" s="19"/>
      <c r="B184" s="249" t="s">
        <v>923</v>
      </c>
      <c r="C184" s="142"/>
      <c r="D184" s="143"/>
      <c r="E184" s="148">
        <v>6610</v>
      </c>
      <c r="F184" s="144"/>
      <c r="G184" s="122"/>
      <c r="H184" s="115"/>
      <c r="I184" s="116"/>
      <c r="J184" s="145"/>
      <c r="K184" s="7"/>
      <c r="L184" s="7"/>
      <c r="M184" s="7"/>
      <c r="N184" s="7"/>
      <c r="O184" s="7"/>
      <c r="P184" s="212">
        <v>60000</v>
      </c>
      <c r="Q184" s="212">
        <v>0</v>
      </c>
      <c r="R184" s="212">
        <v>0</v>
      </c>
      <c r="S184" s="273">
        <v>148393</v>
      </c>
      <c r="T184" s="488">
        <v>93000</v>
      </c>
      <c r="U184" s="492">
        <f t="shared" si="43"/>
        <v>62.67141981090752</v>
      </c>
      <c r="V184" s="489">
        <f t="shared" si="48"/>
        <v>0.004249000664639191</v>
      </c>
      <c r="W184" s="133">
        <f t="shared" si="47"/>
        <v>0.002835798658783106</v>
      </c>
    </row>
    <row r="185" spans="1:23" ht="25.5" customHeight="1" thickBot="1">
      <c r="A185" s="19"/>
      <c r="B185" s="249" t="s">
        <v>923</v>
      </c>
      <c r="C185" s="142"/>
      <c r="D185" s="143"/>
      <c r="E185" s="148">
        <v>6619</v>
      </c>
      <c r="F185" s="144"/>
      <c r="G185" s="122"/>
      <c r="H185" s="115"/>
      <c r="I185" s="116"/>
      <c r="J185" s="145"/>
      <c r="K185" s="7"/>
      <c r="L185" s="7"/>
      <c r="M185" s="7"/>
      <c r="N185" s="7"/>
      <c r="O185" s="7"/>
      <c r="P185" s="212"/>
      <c r="Q185" s="212"/>
      <c r="R185" s="212"/>
      <c r="S185" s="273">
        <v>80000</v>
      </c>
      <c r="T185" s="490">
        <v>70000</v>
      </c>
      <c r="U185" s="492">
        <f t="shared" si="43"/>
        <v>87.5</v>
      </c>
      <c r="V185" s="489">
        <f t="shared" si="48"/>
        <v>0.0022906744467133576</v>
      </c>
      <c r="W185" s="133">
        <f t="shared" si="47"/>
        <v>0.0021344721087614774</v>
      </c>
    </row>
    <row r="186" spans="1:23" ht="18.75" customHeight="1" thickBot="1">
      <c r="A186" s="19" t="s">
        <v>904</v>
      </c>
      <c r="B186" s="4" t="s">
        <v>140</v>
      </c>
      <c r="C186" s="142">
        <v>851</v>
      </c>
      <c r="D186" s="143"/>
      <c r="E186" s="148"/>
      <c r="F186" s="144"/>
      <c r="G186" s="122"/>
      <c r="H186" s="115"/>
      <c r="I186" s="116"/>
      <c r="J186" s="145"/>
      <c r="K186" s="7"/>
      <c r="L186" s="7"/>
      <c r="M186" s="7"/>
      <c r="N186" s="7"/>
      <c r="O186" s="7"/>
      <c r="P186" s="212"/>
      <c r="Q186" s="212"/>
      <c r="R186" s="212"/>
      <c r="S186" s="272">
        <f>S187+S188</f>
        <v>483058</v>
      </c>
      <c r="T186" s="487">
        <f>T187+T188</f>
        <v>411588</v>
      </c>
      <c r="U186" s="492">
        <f t="shared" si="43"/>
        <v>85.20467521498453</v>
      </c>
      <c r="V186" s="489">
        <f t="shared" si="48"/>
        <v>0.013831607711005762</v>
      </c>
      <c r="W186" s="133">
        <f t="shared" si="47"/>
        <v>0.012550330090013129</v>
      </c>
    </row>
    <row r="187" spans="1:23" ht="18.75" customHeight="1" thickBot="1">
      <c r="A187" s="19" t="s">
        <v>85</v>
      </c>
      <c r="B187" s="4" t="s">
        <v>924</v>
      </c>
      <c r="C187" s="142"/>
      <c r="D187" s="143">
        <v>85111</v>
      </c>
      <c r="E187" s="143">
        <v>6619</v>
      </c>
      <c r="F187" s="144"/>
      <c r="G187" s="122"/>
      <c r="H187" s="115"/>
      <c r="I187" s="116"/>
      <c r="J187" s="145"/>
      <c r="K187" s="7"/>
      <c r="L187" s="7"/>
      <c r="M187" s="7"/>
      <c r="N187" s="7"/>
      <c r="O187" s="7"/>
      <c r="P187" s="212"/>
      <c r="Q187" s="212"/>
      <c r="R187" s="212"/>
      <c r="S187" s="272">
        <v>411588</v>
      </c>
      <c r="T187" s="487">
        <v>411588</v>
      </c>
      <c r="U187" s="492">
        <f t="shared" si="43"/>
        <v>100</v>
      </c>
      <c r="V187" s="489">
        <f t="shared" si="48"/>
        <v>0.011785176427173217</v>
      </c>
      <c r="W187" s="133">
        <f t="shared" si="47"/>
        <v>0.012550330090013129</v>
      </c>
    </row>
    <row r="188" spans="1:23" ht="24.75" customHeight="1" thickBot="1">
      <c r="A188" s="19" t="s">
        <v>96</v>
      </c>
      <c r="B188" s="4" t="s">
        <v>925</v>
      </c>
      <c r="C188" s="142"/>
      <c r="D188" s="143">
        <v>85154</v>
      </c>
      <c r="E188" s="148"/>
      <c r="F188" s="144"/>
      <c r="G188" s="122"/>
      <c r="H188" s="115"/>
      <c r="I188" s="116"/>
      <c r="J188" s="145"/>
      <c r="K188" s="7"/>
      <c r="L188" s="7"/>
      <c r="M188" s="7"/>
      <c r="N188" s="7"/>
      <c r="O188" s="7"/>
      <c r="P188" s="212"/>
      <c r="Q188" s="212"/>
      <c r="R188" s="212"/>
      <c r="S188" s="272">
        <f>S189+S190</f>
        <v>71470</v>
      </c>
      <c r="T188" s="487">
        <f>T189+T190</f>
        <v>0</v>
      </c>
      <c r="U188" s="492">
        <f t="shared" si="43"/>
        <v>0</v>
      </c>
      <c r="V188" s="489">
        <f t="shared" si="48"/>
        <v>0.0020464312838325456</v>
      </c>
      <c r="W188" s="133">
        <f t="shared" si="47"/>
        <v>0</v>
      </c>
    </row>
    <row r="189" spans="1:23" ht="27" customHeight="1" thickBot="1">
      <c r="A189" s="19"/>
      <c r="B189" s="249" t="s">
        <v>926</v>
      </c>
      <c r="C189" s="142"/>
      <c r="D189" s="143"/>
      <c r="E189" s="148">
        <v>2330</v>
      </c>
      <c r="F189" s="144"/>
      <c r="G189" s="122"/>
      <c r="H189" s="115"/>
      <c r="I189" s="116"/>
      <c r="J189" s="145"/>
      <c r="K189" s="7"/>
      <c r="L189" s="7"/>
      <c r="M189" s="7"/>
      <c r="N189" s="7"/>
      <c r="O189" s="7"/>
      <c r="P189" s="212"/>
      <c r="Q189" s="212"/>
      <c r="R189" s="212"/>
      <c r="S189" s="273">
        <v>22820</v>
      </c>
      <c r="T189" s="491">
        <v>0</v>
      </c>
      <c r="U189" s="492">
        <f t="shared" si="43"/>
        <v>0</v>
      </c>
      <c r="V189" s="489">
        <f t="shared" si="48"/>
        <v>0.0006534148859249852</v>
      </c>
      <c r="W189" s="133">
        <f t="shared" si="47"/>
        <v>0</v>
      </c>
    </row>
    <row r="190" spans="1:23" ht="28.5" customHeight="1" thickBot="1">
      <c r="A190" s="19"/>
      <c r="B190" s="249" t="s">
        <v>927</v>
      </c>
      <c r="C190" s="142"/>
      <c r="D190" s="143"/>
      <c r="E190" s="148">
        <v>6630</v>
      </c>
      <c r="F190" s="144"/>
      <c r="G190" s="122"/>
      <c r="H190" s="115"/>
      <c r="I190" s="116"/>
      <c r="J190" s="145"/>
      <c r="K190" s="7"/>
      <c r="L190" s="7"/>
      <c r="M190" s="7"/>
      <c r="N190" s="7"/>
      <c r="O190" s="7"/>
      <c r="P190" s="212"/>
      <c r="Q190" s="212"/>
      <c r="R190" s="212"/>
      <c r="S190" s="273">
        <v>48650</v>
      </c>
      <c r="T190" s="491">
        <v>0</v>
      </c>
      <c r="U190" s="492">
        <f t="shared" si="43"/>
        <v>0</v>
      </c>
      <c r="V190" s="489">
        <f t="shared" si="48"/>
        <v>0.0013930163979075606</v>
      </c>
      <c r="W190" s="133">
        <f t="shared" si="47"/>
        <v>0</v>
      </c>
    </row>
    <row r="191" spans="1:23" ht="30" customHeight="1">
      <c r="A191" s="19" t="s">
        <v>906</v>
      </c>
      <c r="B191" s="4" t="s">
        <v>128</v>
      </c>
      <c r="C191" s="146">
        <v>754</v>
      </c>
      <c r="D191" s="143"/>
      <c r="E191" s="143"/>
      <c r="F191" s="144"/>
      <c r="G191" s="122"/>
      <c r="H191" s="115"/>
      <c r="I191" s="116"/>
      <c r="J191" s="145"/>
      <c r="K191" s="7"/>
      <c r="L191" s="7"/>
      <c r="M191" s="7"/>
      <c r="N191" s="7"/>
      <c r="O191" s="7"/>
      <c r="P191" s="272"/>
      <c r="Q191" s="272"/>
      <c r="R191" s="272"/>
      <c r="S191" s="272">
        <f>S192</f>
        <v>24000</v>
      </c>
      <c r="T191" s="272">
        <f>T192</f>
        <v>1000</v>
      </c>
      <c r="U191" s="132">
        <f aca="true" t="shared" si="50" ref="U191:U197">T191/S191*100</f>
        <v>4.166666666666666</v>
      </c>
      <c r="V191" s="6">
        <f t="shared" si="48"/>
        <v>0.0006872023340140072</v>
      </c>
      <c r="W191" s="6">
        <f t="shared" si="47"/>
        <v>3.0492458696592535E-05</v>
      </c>
    </row>
    <row r="192" spans="1:23" ht="30" customHeight="1">
      <c r="A192" s="19"/>
      <c r="B192" s="4" t="s">
        <v>928</v>
      </c>
      <c r="C192" s="142"/>
      <c r="D192" s="143">
        <v>75411</v>
      </c>
      <c r="E192" s="148">
        <v>2310</v>
      </c>
      <c r="F192" s="144"/>
      <c r="G192" s="122"/>
      <c r="H192" s="115"/>
      <c r="I192" s="116"/>
      <c r="J192" s="145"/>
      <c r="K192" s="7"/>
      <c r="L192" s="7"/>
      <c r="M192" s="7"/>
      <c r="N192" s="7"/>
      <c r="O192" s="7"/>
      <c r="P192" s="212"/>
      <c r="Q192" s="212"/>
      <c r="R192" s="212"/>
      <c r="S192" s="212">
        <v>24000</v>
      </c>
      <c r="T192" s="212">
        <v>1000</v>
      </c>
      <c r="U192" s="132">
        <f t="shared" si="50"/>
        <v>4.166666666666666</v>
      </c>
      <c r="V192" s="6">
        <f t="shared" si="48"/>
        <v>0.0006872023340140072</v>
      </c>
      <c r="W192" s="133">
        <f t="shared" si="47"/>
        <v>3.0492458696592535E-05</v>
      </c>
    </row>
    <row r="193" spans="1:23" ht="21.75" customHeight="1">
      <c r="A193" s="19" t="s">
        <v>908</v>
      </c>
      <c r="B193" s="4" t="s">
        <v>929</v>
      </c>
      <c r="C193" s="146">
        <v>803</v>
      </c>
      <c r="D193" s="143">
        <v>80309</v>
      </c>
      <c r="E193" s="143"/>
      <c r="F193" s="144"/>
      <c r="G193" s="122"/>
      <c r="H193" s="115"/>
      <c r="I193" s="116"/>
      <c r="J193" s="145"/>
      <c r="K193" s="7"/>
      <c r="L193" s="7"/>
      <c r="M193" s="7"/>
      <c r="N193" s="7"/>
      <c r="O193" s="7"/>
      <c r="P193" s="272">
        <f aca="true" t="shared" si="51" ref="P193:R194">P194</f>
        <v>136000</v>
      </c>
      <c r="Q193" s="272">
        <f t="shared" si="51"/>
        <v>0</v>
      </c>
      <c r="R193" s="272">
        <f t="shared" si="51"/>
        <v>12000</v>
      </c>
      <c r="S193" s="272">
        <f>S194+S195+S196+S197+S198+S199</f>
        <v>101447</v>
      </c>
      <c r="T193" s="272">
        <f>T194+T195+T196+T197+T198+T199</f>
        <v>72046</v>
      </c>
      <c r="U193" s="132">
        <f t="shared" si="50"/>
        <v>71.01836426902717</v>
      </c>
      <c r="V193" s="133">
        <f t="shared" si="48"/>
        <v>0.0029047756324466247</v>
      </c>
      <c r="W193" s="133">
        <f t="shared" si="47"/>
        <v>0.0021968596792547057</v>
      </c>
    </row>
    <row r="194" spans="1:23" ht="45.75" customHeight="1">
      <c r="A194" s="21" t="s">
        <v>85</v>
      </c>
      <c r="B194" s="249" t="s">
        <v>930</v>
      </c>
      <c r="C194" s="142"/>
      <c r="D194" s="143"/>
      <c r="E194" s="148">
        <v>2328</v>
      </c>
      <c r="F194" s="144"/>
      <c r="G194" s="122"/>
      <c r="H194" s="115"/>
      <c r="I194" s="116"/>
      <c r="J194" s="145"/>
      <c r="K194" s="7"/>
      <c r="L194" s="7"/>
      <c r="M194" s="7"/>
      <c r="N194" s="7"/>
      <c r="O194" s="7"/>
      <c r="P194" s="212">
        <f>P195</f>
        <v>136000</v>
      </c>
      <c r="Q194" s="212">
        <f t="shared" si="51"/>
        <v>0</v>
      </c>
      <c r="R194" s="212">
        <f t="shared" si="51"/>
        <v>12000</v>
      </c>
      <c r="S194" s="212">
        <v>51125</v>
      </c>
      <c r="T194" s="212">
        <v>0</v>
      </c>
      <c r="U194" s="132">
        <f t="shared" si="50"/>
        <v>0</v>
      </c>
      <c r="V194" s="133">
        <f t="shared" si="48"/>
        <v>0.001463884138602755</v>
      </c>
      <c r="W194" s="133">
        <f t="shared" si="47"/>
        <v>0</v>
      </c>
    </row>
    <row r="195" spans="1:23" ht="45" customHeight="1">
      <c r="A195" s="21" t="s">
        <v>96</v>
      </c>
      <c r="B195" s="249" t="s">
        <v>930</v>
      </c>
      <c r="C195" s="142"/>
      <c r="D195" s="143"/>
      <c r="E195" s="148">
        <v>2329</v>
      </c>
      <c r="F195" s="144"/>
      <c r="G195" s="122"/>
      <c r="H195" s="115"/>
      <c r="I195" s="116"/>
      <c r="J195" s="145"/>
      <c r="K195" s="7"/>
      <c r="L195" s="7"/>
      <c r="M195" s="7"/>
      <c r="N195" s="7"/>
      <c r="O195" s="7"/>
      <c r="P195" s="212">
        <v>136000</v>
      </c>
      <c r="Q195" s="212">
        <v>0</v>
      </c>
      <c r="R195" s="212">
        <v>12000</v>
      </c>
      <c r="S195" s="212">
        <v>17042</v>
      </c>
      <c r="T195" s="8">
        <v>0</v>
      </c>
      <c r="U195" s="132">
        <f t="shared" si="50"/>
        <v>0</v>
      </c>
      <c r="V195" s="133">
        <f t="shared" si="48"/>
        <v>0.00048797092401111296</v>
      </c>
      <c r="W195" s="133">
        <f t="shared" si="47"/>
        <v>0</v>
      </c>
    </row>
    <row r="196" spans="1:23" ht="47.25" customHeight="1">
      <c r="A196" s="63" t="s">
        <v>139</v>
      </c>
      <c r="B196" s="253" t="s">
        <v>932</v>
      </c>
      <c r="C196" s="136"/>
      <c r="D196" s="136"/>
      <c r="E196" s="136">
        <v>2338</v>
      </c>
      <c r="F196" s="308"/>
      <c r="G196" s="138"/>
      <c r="H196" s="139"/>
      <c r="I196" s="140"/>
      <c r="J196" s="141"/>
      <c r="K196" s="141"/>
      <c r="L196" s="141"/>
      <c r="M196" s="141"/>
      <c r="N196" s="141"/>
      <c r="O196" s="141"/>
      <c r="P196" s="78"/>
      <c r="Q196" s="78"/>
      <c r="R196" s="78"/>
      <c r="S196" s="87">
        <v>24960</v>
      </c>
      <c r="T196" s="87">
        <v>0</v>
      </c>
      <c r="U196" s="132">
        <f t="shared" si="50"/>
        <v>0</v>
      </c>
      <c r="V196" s="133">
        <f t="shared" si="48"/>
        <v>0.0007146904273745675</v>
      </c>
      <c r="W196" s="133">
        <f t="shared" si="47"/>
        <v>0</v>
      </c>
    </row>
    <row r="197" spans="1:23" ht="47.25" customHeight="1">
      <c r="A197" s="21" t="s">
        <v>141</v>
      </c>
      <c r="B197" s="249" t="s">
        <v>932</v>
      </c>
      <c r="C197" s="22"/>
      <c r="D197" s="22"/>
      <c r="E197" s="22">
        <v>2339</v>
      </c>
      <c r="F197" s="107"/>
      <c r="G197" s="131"/>
      <c r="H197" s="132"/>
      <c r="I197" s="133"/>
      <c r="J197" s="20"/>
      <c r="K197" s="20"/>
      <c r="L197" s="20"/>
      <c r="M197" s="20"/>
      <c r="N197" s="20"/>
      <c r="O197" s="20"/>
      <c r="P197" s="8"/>
      <c r="Q197" s="8"/>
      <c r="R197" s="8"/>
      <c r="S197" s="8">
        <v>8320</v>
      </c>
      <c r="T197" s="8">
        <v>0</v>
      </c>
      <c r="U197" s="132">
        <f t="shared" si="50"/>
        <v>0</v>
      </c>
      <c r="V197" s="133">
        <f t="shared" si="48"/>
        <v>0.00023823014245818918</v>
      </c>
      <c r="W197" s="133">
        <f t="shared" si="47"/>
        <v>0</v>
      </c>
    </row>
    <row r="198" spans="1:23" ht="54.75" customHeight="1">
      <c r="A198" s="21" t="s">
        <v>143</v>
      </c>
      <c r="B198" s="259" t="s">
        <v>219</v>
      </c>
      <c r="C198" s="22"/>
      <c r="D198" s="22"/>
      <c r="E198" s="22">
        <v>2888</v>
      </c>
      <c r="F198" s="107"/>
      <c r="G198" s="131"/>
      <c r="H198" s="132"/>
      <c r="I198" s="133"/>
      <c r="J198" s="20"/>
      <c r="K198" s="20"/>
      <c r="L198" s="20"/>
      <c r="M198" s="20"/>
      <c r="N198" s="20"/>
      <c r="O198" s="20"/>
      <c r="P198" s="8"/>
      <c r="Q198" s="8"/>
      <c r="R198" s="8"/>
      <c r="S198" s="212">
        <v>0</v>
      </c>
      <c r="T198" s="87">
        <v>54034</v>
      </c>
      <c r="U198" s="132">
        <v>0</v>
      </c>
      <c r="V198" s="133">
        <f t="shared" si="48"/>
        <v>0</v>
      </c>
      <c r="W198" s="133">
        <f t="shared" si="47"/>
        <v>0.0016476295132116811</v>
      </c>
    </row>
    <row r="199" spans="1:23" ht="57" customHeight="1">
      <c r="A199" s="21" t="s">
        <v>218</v>
      </c>
      <c r="B199" s="259" t="s">
        <v>219</v>
      </c>
      <c r="C199" s="22"/>
      <c r="D199" s="22"/>
      <c r="E199" s="22">
        <v>2889</v>
      </c>
      <c r="F199" s="107"/>
      <c r="G199" s="131"/>
      <c r="H199" s="132"/>
      <c r="I199" s="133"/>
      <c r="J199" s="20"/>
      <c r="K199" s="20"/>
      <c r="L199" s="20"/>
      <c r="M199" s="20"/>
      <c r="N199" s="20"/>
      <c r="O199" s="20"/>
      <c r="P199" s="8"/>
      <c r="Q199" s="8"/>
      <c r="R199" s="8"/>
      <c r="S199" s="212">
        <v>0</v>
      </c>
      <c r="T199" s="8">
        <v>18012</v>
      </c>
      <c r="U199" s="132">
        <v>0</v>
      </c>
      <c r="V199" s="133">
        <f t="shared" si="48"/>
        <v>0</v>
      </c>
      <c r="W199" s="133">
        <f t="shared" si="47"/>
        <v>0.0005492301660430248</v>
      </c>
    </row>
    <row r="200" spans="1:23" ht="65.25" customHeight="1">
      <c r="A200" s="19" t="s">
        <v>910</v>
      </c>
      <c r="B200" s="371" t="s">
        <v>593</v>
      </c>
      <c r="C200" s="58">
        <v>852</v>
      </c>
      <c r="D200" s="58"/>
      <c r="E200" s="58"/>
      <c r="F200" s="9"/>
      <c r="G200" s="122"/>
      <c r="H200" s="115"/>
      <c r="I200" s="10"/>
      <c r="J200" s="7"/>
      <c r="K200" s="7"/>
      <c r="L200" s="7"/>
      <c r="M200" s="7"/>
      <c r="N200" s="7"/>
      <c r="O200" s="7"/>
      <c r="P200" s="7"/>
      <c r="Q200" s="7"/>
      <c r="R200" s="7"/>
      <c r="S200" s="272">
        <f>S201+S202</f>
        <v>425673</v>
      </c>
      <c r="T200" s="272">
        <f>T201+T202</f>
        <v>267268</v>
      </c>
      <c r="U200" s="132">
        <f>T200/S200*100</f>
        <v>62.78716291613515</v>
      </c>
      <c r="V200" s="133">
        <f t="shared" si="48"/>
        <v>0.012188478296947688</v>
      </c>
      <c r="W200" s="133">
        <f t="shared" si="47"/>
        <v>0.008149658450920893</v>
      </c>
    </row>
    <row r="201" spans="1:23" s="37" customFormat="1" ht="20.25" customHeight="1">
      <c r="A201" s="19" t="s">
        <v>85</v>
      </c>
      <c r="B201" s="469" t="s">
        <v>931</v>
      </c>
      <c r="C201" s="143"/>
      <c r="D201" s="143">
        <v>85201</v>
      </c>
      <c r="E201" s="143">
        <v>2320</v>
      </c>
      <c r="F201" s="304"/>
      <c r="G201" s="118"/>
      <c r="H201" s="157"/>
      <c r="I201" s="305"/>
      <c r="J201" s="50"/>
      <c r="K201" s="50"/>
      <c r="L201" s="50"/>
      <c r="M201" s="50"/>
      <c r="N201" s="50"/>
      <c r="O201" s="50"/>
      <c r="P201" s="50"/>
      <c r="Q201" s="50"/>
      <c r="R201" s="50"/>
      <c r="S201" s="283">
        <v>403534</v>
      </c>
      <c r="T201" s="283">
        <v>239521</v>
      </c>
      <c r="U201" s="468">
        <v>0</v>
      </c>
      <c r="V201" s="435">
        <f t="shared" si="48"/>
        <v>0.01155456277725035</v>
      </c>
      <c r="W201" s="435">
        <f t="shared" si="47"/>
        <v>0.007303584199466541</v>
      </c>
    </row>
    <row r="202" spans="1:23" s="37" customFormat="1" ht="18" customHeight="1">
      <c r="A202" s="19" t="s">
        <v>96</v>
      </c>
      <c r="B202" s="469" t="s">
        <v>391</v>
      </c>
      <c r="C202" s="143"/>
      <c r="D202" s="143">
        <v>85204</v>
      </c>
      <c r="E202" s="143">
        <v>2320</v>
      </c>
      <c r="F202" s="304"/>
      <c r="G202" s="118"/>
      <c r="H202" s="157"/>
      <c r="I202" s="305"/>
      <c r="J202" s="50"/>
      <c r="K202" s="50"/>
      <c r="L202" s="50"/>
      <c r="M202" s="50"/>
      <c r="N202" s="50"/>
      <c r="O202" s="50"/>
      <c r="P202" s="50"/>
      <c r="Q202" s="50"/>
      <c r="R202" s="50"/>
      <c r="S202" s="283">
        <v>22139</v>
      </c>
      <c r="T202" s="283">
        <v>27747</v>
      </c>
      <c r="U202" s="468">
        <f>T202/S202*100</f>
        <v>125.33086408600207</v>
      </c>
      <c r="V202" s="435">
        <f t="shared" si="48"/>
        <v>0.0006339155196973378</v>
      </c>
      <c r="W202" s="435">
        <f t="shared" si="47"/>
        <v>0.000846074251454353</v>
      </c>
    </row>
    <row r="203" spans="1:23" s="37" customFormat="1" ht="25.5" customHeight="1">
      <c r="A203" s="19" t="s">
        <v>968</v>
      </c>
      <c r="B203" s="470" t="s">
        <v>145</v>
      </c>
      <c r="C203" s="282">
        <v>854</v>
      </c>
      <c r="D203" s="282">
        <v>85415</v>
      </c>
      <c r="E203" s="282"/>
      <c r="F203" s="414"/>
      <c r="G203" s="415"/>
      <c r="H203" s="416"/>
      <c r="I203" s="417"/>
      <c r="J203" s="370"/>
      <c r="K203" s="370"/>
      <c r="L203" s="370"/>
      <c r="M203" s="370"/>
      <c r="N203" s="370"/>
      <c r="O203" s="370"/>
      <c r="P203" s="370"/>
      <c r="Q203" s="370"/>
      <c r="R203" s="370"/>
      <c r="S203" s="418">
        <f>S204+S205+S206+S207+S208+S209</f>
        <v>468598</v>
      </c>
      <c r="T203" s="418">
        <f>T204+T205+T206+T207+T208+T209</f>
        <v>358160</v>
      </c>
      <c r="U203" s="419">
        <f aca="true" t="shared" si="52" ref="U203:U212">T203/S203*100</f>
        <v>76.43225109795603</v>
      </c>
      <c r="V203" s="420">
        <f t="shared" si="48"/>
        <v>0.013417568304762324</v>
      </c>
      <c r="W203" s="420">
        <f t="shared" si="47"/>
        <v>0.010921179006771583</v>
      </c>
    </row>
    <row r="204" spans="1:23" s="37" customFormat="1" ht="42.75" customHeight="1">
      <c r="A204" s="21" t="s">
        <v>85</v>
      </c>
      <c r="B204" s="259" t="s">
        <v>930</v>
      </c>
      <c r="C204" s="58"/>
      <c r="D204" s="58"/>
      <c r="E204" s="22">
        <v>2328</v>
      </c>
      <c r="F204" s="107"/>
      <c r="G204" s="131"/>
      <c r="H204" s="132"/>
      <c r="I204" s="133"/>
      <c r="J204" s="20"/>
      <c r="K204" s="20"/>
      <c r="L204" s="20"/>
      <c r="M204" s="20"/>
      <c r="N204" s="20"/>
      <c r="O204" s="20"/>
      <c r="P204" s="20"/>
      <c r="Q204" s="20"/>
      <c r="R204" s="20"/>
      <c r="S204" s="20">
        <v>214607</v>
      </c>
      <c r="T204" s="20">
        <v>0</v>
      </c>
      <c r="U204" s="132">
        <f t="shared" si="52"/>
        <v>0</v>
      </c>
      <c r="V204" s="133">
        <f t="shared" si="48"/>
        <v>0.006144934637322669</v>
      </c>
      <c r="W204" s="133">
        <f t="shared" si="47"/>
        <v>0</v>
      </c>
    </row>
    <row r="205" spans="1:23" s="37" customFormat="1" ht="41.25" customHeight="1">
      <c r="A205" s="21" t="s">
        <v>96</v>
      </c>
      <c r="B205" s="259" t="s">
        <v>930</v>
      </c>
      <c r="C205" s="58"/>
      <c r="D205" s="58"/>
      <c r="E205" s="22">
        <v>2329</v>
      </c>
      <c r="F205" s="107"/>
      <c r="G205" s="131"/>
      <c r="H205" s="132"/>
      <c r="I205" s="133"/>
      <c r="J205" s="20"/>
      <c r="K205" s="20"/>
      <c r="L205" s="20"/>
      <c r="M205" s="20"/>
      <c r="N205" s="20"/>
      <c r="O205" s="20"/>
      <c r="P205" s="20"/>
      <c r="Q205" s="20"/>
      <c r="R205" s="20"/>
      <c r="S205" s="20">
        <v>100991</v>
      </c>
      <c r="T205" s="20">
        <v>0</v>
      </c>
      <c r="U205" s="132">
        <f t="shared" si="52"/>
        <v>0</v>
      </c>
      <c r="V205" s="133">
        <f t="shared" si="48"/>
        <v>0.0028917187881003586</v>
      </c>
      <c r="W205" s="133">
        <f t="shared" si="47"/>
        <v>0</v>
      </c>
    </row>
    <row r="206" spans="1:23" s="37" customFormat="1" ht="46.5" customHeight="1">
      <c r="A206" s="21" t="s">
        <v>139</v>
      </c>
      <c r="B206" s="260" t="s">
        <v>932</v>
      </c>
      <c r="C206" s="58"/>
      <c r="D206" s="58"/>
      <c r="E206" s="22">
        <v>2338</v>
      </c>
      <c r="F206" s="107"/>
      <c r="G206" s="131"/>
      <c r="H206" s="132"/>
      <c r="I206" s="133"/>
      <c r="J206" s="20"/>
      <c r="K206" s="20"/>
      <c r="L206" s="20"/>
      <c r="M206" s="20"/>
      <c r="N206" s="20"/>
      <c r="O206" s="20"/>
      <c r="P206" s="20"/>
      <c r="Q206" s="20"/>
      <c r="R206" s="20"/>
      <c r="S206" s="20">
        <v>104040</v>
      </c>
      <c r="T206" s="20">
        <v>0</v>
      </c>
      <c r="U206" s="132">
        <f t="shared" si="52"/>
        <v>0</v>
      </c>
      <c r="V206" s="133">
        <f t="shared" si="48"/>
        <v>0.0029790221179507212</v>
      </c>
      <c r="W206" s="133">
        <f t="shared" si="47"/>
        <v>0</v>
      </c>
    </row>
    <row r="207" spans="1:23" s="37" customFormat="1" ht="46.5" customHeight="1">
      <c r="A207" s="21" t="s">
        <v>141</v>
      </c>
      <c r="B207" s="260" t="s">
        <v>932</v>
      </c>
      <c r="C207" s="282"/>
      <c r="D207" s="134"/>
      <c r="E207" s="136">
        <v>2339</v>
      </c>
      <c r="F207" s="308"/>
      <c r="G207" s="138"/>
      <c r="H207" s="139"/>
      <c r="I207" s="140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>
        <v>48960</v>
      </c>
      <c r="T207" s="141">
        <v>0</v>
      </c>
      <c r="U207" s="139">
        <f t="shared" si="52"/>
        <v>0</v>
      </c>
      <c r="V207" s="140">
        <f t="shared" si="48"/>
        <v>0.0014018927613885749</v>
      </c>
      <c r="W207" s="420">
        <f aca="true" t="shared" si="53" ref="W207:W245">T207/$T$256</f>
        <v>0</v>
      </c>
    </row>
    <row r="208" spans="1:23" s="37" customFormat="1" ht="46.5" customHeight="1">
      <c r="A208" s="21" t="s">
        <v>143</v>
      </c>
      <c r="B208" s="259" t="s">
        <v>219</v>
      </c>
      <c r="C208" s="282"/>
      <c r="D208" s="134"/>
      <c r="E208" s="136">
        <v>2888</v>
      </c>
      <c r="F208" s="308"/>
      <c r="G208" s="138"/>
      <c r="H208" s="139"/>
      <c r="I208" s="140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>
        <v>0</v>
      </c>
      <c r="T208" s="20">
        <v>243549</v>
      </c>
      <c r="U208" s="139">
        <v>0</v>
      </c>
      <c r="V208" s="140">
        <f t="shared" si="48"/>
        <v>0</v>
      </c>
      <c r="W208" s="420">
        <f t="shared" si="53"/>
        <v>0.007426407823096415</v>
      </c>
    </row>
    <row r="209" spans="1:23" s="37" customFormat="1" ht="46.5" customHeight="1">
      <c r="A209" s="21" t="s">
        <v>218</v>
      </c>
      <c r="B209" s="259" t="s">
        <v>219</v>
      </c>
      <c r="C209" s="282"/>
      <c r="D209" s="134"/>
      <c r="E209" s="136">
        <v>2889</v>
      </c>
      <c r="F209" s="308"/>
      <c r="G209" s="138"/>
      <c r="H209" s="139"/>
      <c r="I209" s="140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>
        <v>0</v>
      </c>
      <c r="T209" s="141">
        <v>114611</v>
      </c>
      <c r="U209" s="139">
        <v>0</v>
      </c>
      <c r="V209" s="140">
        <f t="shared" si="48"/>
        <v>0</v>
      </c>
      <c r="W209" s="420">
        <f t="shared" si="53"/>
        <v>0.003494771183675167</v>
      </c>
    </row>
    <row r="210" spans="1:23" s="37" customFormat="1" ht="29.25" customHeight="1">
      <c r="A210" s="19">
        <v>7</v>
      </c>
      <c r="B210" s="371" t="s">
        <v>746</v>
      </c>
      <c r="C210" s="58">
        <v>921</v>
      </c>
      <c r="D210" s="58">
        <v>92116</v>
      </c>
      <c r="E210" s="58"/>
      <c r="F210" s="9"/>
      <c r="G210" s="122"/>
      <c r="H210" s="115"/>
      <c r="I210" s="10"/>
      <c r="J210" s="7"/>
      <c r="K210" s="7"/>
      <c r="L210" s="7"/>
      <c r="M210" s="7"/>
      <c r="N210" s="7"/>
      <c r="O210" s="7"/>
      <c r="P210" s="7"/>
      <c r="Q210" s="7"/>
      <c r="R210" s="7"/>
      <c r="S210" s="7">
        <f>S211</f>
        <v>0</v>
      </c>
      <c r="T210" s="7">
        <f>T211</f>
        <v>65000</v>
      </c>
      <c r="U210" s="132">
        <v>0</v>
      </c>
      <c r="V210" s="133">
        <f t="shared" si="48"/>
        <v>0</v>
      </c>
      <c r="W210" s="133">
        <f t="shared" si="53"/>
        <v>0.0019820098152785147</v>
      </c>
    </row>
    <row r="211" spans="1:23" s="37" customFormat="1" ht="30" customHeight="1">
      <c r="A211" s="21"/>
      <c r="B211" s="259" t="s">
        <v>927</v>
      </c>
      <c r="C211" s="58"/>
      <c r="D211" s="58"/>
      <c r="E211" s="22">
        <v>6630</v>
      </c>
      <c r="F211" s="107"/>
      <c r="G211" s="131"/>
      <c r="H211" s="132"/>
      <c r="I211" s="133"/>
      <c r="J211" s="20"/>
      <c r="K211" s="20"/>
      <c r="L211" s="20"/>
      <c r="M211" s="20"/>
      <c r="N211" s="20"/>
      <c r="O211" s="20"/>
      <c r="P211" s="20"/>
      <c r="Q211" s="20"/>
      <c r="R211" s="20"/>
      <c r="S211" s="20">
        <v>0</v>
      </c>
      <c r="T211" s="20">
        <v>65000</v>
      </c>
      <c r="U211" s="132">
        <v>0</v>
      </c>
      <c r="V211" s="133">
        <f t="shared" si="48"/>
        <v>0</v>
      </c>
      <c r="W211" s="133">
        <f t="shared" si="53"/>
        <v>0.0019820098152785147</v>
      </c>
    </row>
    <row r="212" spans="1:28" s="101" customFormat="1" ht="39" customHeight="1" thickBot="1">
      <c r="A212" s="423" t="s">
        <v>152</v>
      </c>
      <c r="B212" s="471" t="s">
        <v>154</v>
      </c>
      <c r="C212" s="353"/>
      <c r="D212" s="353"/>
      <c r="E212" s="353"/>
      <c r="F212" s="354" t="e">
        <f>F213+#REF!+F215+F217+F222+F225+F228+F230</f>
        <v>#REF!</v>
      </c>
      <c r="G212" s="355" t="e">
        <f>G213+#REF!+G215+G217+G222+G225+G228+G230</f>
        <v>#REF!</v>
      </c>
      <c r="H212" s="356" t="e">
        <f aca="true" t="shared" si="54" ref="H212:H230">IF(F212&gt;0,G212/F212*100,"")</f>
        <v>#REF!</v>
      </c>
      <c r="I212" s="361" t="e">
        <f>F212/F256</f>
        <v>#REF!</v>
      </c>
      <c r="J212" s="358"/>
      <c r="K212" s="359" t="e">
        <f>K213+#REF!+K215+K217+K222+K225+K228+K230</f>
        <v>#REF!</v>
      </c>
      <c r="L212" s="359" t="e">
        <f>L213+#REF!+L215+L217+L222+L225+L228+L230</f>
        <v>#REF!</v>
      </c>
      <c r="M212" s="359" t="e">
        <f>M213+#REF!+M215+M217+M222+M225+M228+M230+#REF!</f>
        <v>#REF!</v>
      </c>
      <c r="N212" s="359" t="e">
        <f>N213+#REF!+N215+N217+N222+N225+N228+N230+#REF!</f>
        <v>#REF!</v>
      </c>
      <c r="O212" s="359" t="e">
        <f>O213+#REF!+O215+O217+O222+O225+O228+O230+#REF!</f>
        <v>#REF!</v>
      </c>
      <c r="P212" s="359" t="e">
        <f>P213+#REF!+P215+P217+P222+P225+P228+P230+#REF!</f>
        <v>#REF!</v>
      </c>
      <c r="Q212" s="359" t="e">
        <f>Q213+#REF!+Q215+Q217+Q222+Q225+Q228+Q230+#REF!</f>
        <v>#REF!</v>
      </c>
      <c r="R212" s="359" t="e">
        <f>R213+#REF!+R215+R217+R222+R225+R228+R230+#REF!</f>
        <v>#REF!</v>
      </c>
      <c r="S212" s="360">
        <f>S213+S215+S217+S222+S225+S228+S230</f>
        <v>2920579</v>
      </c>
      <c r="T212" s="360">
        <f>T213+T215+T217+T222+T225+T228</f>
        <v>3305295</v>
      </c>
      <c r="U212" s="338">
        <f t="shared" si="52"/>
        <v>113.17259351655954</v>
      </c>
      <c r="V212" s="339">
        <f t="shared" si="48"/>
        <v>0.08362619606134564</v>
      </c>
      <c r="W212" s="362">
        <f t="shared" si="53"/>
        <v>0.10078657126755382</v>
      </c>
      <c r="X212" s="41"/>
      <c r="Y212" s="41"/>
      <c r="Z212" s="41"/>
      <c r="AA212" s="41"/>
      <c r="AB212" s="41"/>
    </row>
    <row r="213" spans="1:28" ht="17.25" customHeight="1">
      <c r="A213" s="19" t="s">
        <v>903</v>
      </c>
      <c r="B213" s="472" t="s">
        <v>84</v>
      </c>
      <c r="C213" s="303" t="s">
        <v>456</v>
      </c>
      <c r="D213" s="147"/>
      <c r="E213" s="147"/>
      <c r="F213" s="67" t="e">
        <f>F214+#REF!</f>
        <v>#REF!</v>
      </c>
      <c r="G213" s="120" t="e">
        <f>G214+#REF!</f>
        <v>#REF!</v>
      </c>
      <c r="H213" s="311" t="e">
        <f t="shared" si="54"/>
        <v>#REF!</v>
      </c>
      <c r="I213" s="292" t="e">
        <f>F213/F256</f>
        <v>#REF!</v>
      </c>
      <c r="J213" s="40"/>
      <c r="K213" s="40" t="e">
        <f>K214+#REF!</f>
        <v>#REF!</v>
      </c>
      <c r="L213" s="40" t="e">
        <f>L214+#REF!</f>
        <v>#REF!</v>
      </c>
      <c r="M213" s="50" t="e">
        <f>M214+#REF!+#REF!</f>
        <v>#REF!</v>
      </c>
      <c r="N213" s="50" t="e">
        <f>N214+#REF!+#REF!</f>
        <v>#REF!</v>
      </c>
      <c r="O213" s="50" t="e">
        <f>O214+#REF!+#REF!</f>
        <v>#REF!</v>
      </c>
      <c r="P213" s="50" t="e">
        <f>P214+#REF!+#REF!</f>
        <v>#REF!</v>
      </c>
      <c r="Q213" s="50" t="e">
        <f>Q214+#REF!+#REF!</f>
        <v>#REF!</v>
      </c>
      <c r="R213" s="50" t="e">
        <f>R214+#REF!+#REF!</f>
        <v>#REF!</v>
      </c>
      <c r="S213" s="283">
        <f>S214</f>
        <v>40000</v>
      </c>
      <c r="T213" s="283">
        <f>T214</f>
        <v>30000</v>
      </c>
      <c r="U213" s="468">
        <f aca="true" t="shared" si="55" ref="U213:U220">T213/S213*100</f>
        <v>75</v>
      </c>
      <c r="V213" s="435">
        <f t="shared" si="48"/>
        <v>0.0011453372233566788</v>
      </c>
      <c r="W213" s="305">
        <f t="shared" si="53"/>
        <v>0.000914773760897776</v>
      </c>
      <c r="X213" s="41"/>
      <c r="Y213" s="41"/>
      <c r="Z213" s="41"/>
      <c r="AA213" s="41"/>
      <c r="AB213" s="41"/>
    </row>
    <row r="214" spans="1:23" ht="35.25" customHeight="1">
      <c r="A214" s="21" t="s">
        <v>85</v>
      </c>
      <c r="B214" s="473" t="s">
        <v>818</v>
      </c>
      <c r="C214" s="33"/>
      <c r="D214" s="18" t="s">
        <v>499</v>
      </c>
      <c r="E214" s="33">
        <v>2110</v>
      </c>
      <c r="F214" s="5">
        <v>0</v>
      </c>
      <c r="G214" s="131">
        <v>37400</v>
      </c>
      <c r="H214" s="121">
        <f t="shared" si="54"/>
      </c>
      <c r="I214" s="6" t="e">
        <f>F214/F256</f>
        <v>#REF!</v>
      </c>
      <c r="J214" s="8"/>
      <c r="K214" s="8">
        <v>0</v>
      </c>
      <c r="L214" s="8">
        <v>0</v>
      </c>
      <c r="M214" s="8">
        <v>44000</v>
      </c>
      <c r="N214" s="8">
        <v>0</v>
      </c>
      <c r="O214" s="8">
        <v>0</v>
      </c>
      <c r="P214" s="8">
        <v>45000</v>
      </c>
      <c r="Q214" s="8">
        <v>0</v>
      </c>
      <c r="R214" s="8">
        <v>0</v>
      </c>
      <c r="S214" s="212">
        <v>40000</v>
      </c>
      <c r="T214" s="8">
        <v>30000</v>
      </c>
      <c r="U214" s="132">
        <f t="shared" si="55"/>
        <v>75</v>
      </c>
      <c r="V214" s="133">
        <f t="shared" si="48"/>
        <v>0.0011453372233566788</v>
      </c>
      <c r="W214" s="6">
        <f t="shared" si="53"/>
        <v>0.000914773760897776</v>
      </c>
    </row>
    <row r="215" spans="1:23" ht="14.25" customHeight="1">
      <c r="A215" s="19" t="s">
        <v>904</v>
      </c>
      <c r="B215" s="371" t="s">
        <v>155</v>
      </c>
      <c r="C215" s="33">
        <v>700</v>
      </c>
      <c r="D215" s="33"/>
      <c r="E215" s="33"/>
      <c r="F215" s="5">
        <f>F216</f>
        <v>15000</v>
      </c>
      <c r="G215" s="122">
        <f>G216</f>
        <v>37000</v>
      </c>
      <c r="H215" s="115">
        <f t="shared" si="54"/>
        <v>246.66666666666669</v>
      </c>
      <c r="I215" s="10" t="e">
        <f>F215/F256</f>
        <v>#REF!</v>
      </c>
      <c r="J215" s="7"/>
      <c r="K215" s="7">
        <f aca="true" t="shared" si="56" ref="K215:T215">K216</f>
        <v>0</v>
      </c>
      <c r="L215" s="7">
        <f t="shared" si="56"/>
        <v>0</v>
      </c>
      <c r="M215" s="7">
        <f t="shared" si="56"/>
        <v>4000</v>
      </c>
      <c r="N215" s="7">
        <f t="shared" si="56"/>
        <v>0</v>
      </c>
      <c r="O215" s="7">
        <f t="shared" si="56"/>
        <v>0</v>
      </c>
      <c r="P215" s="151">
        <f t="shared" si="56"/>
        <v>22000</v>
      </c>
      <c r="Q215" s="151">
        <f t="shared" si="56"/>
        <v>0</v>
      </c>
      <c r="R215" s="151">
        <f t="shared" si="56"/>
        <v>0</v>
      </c>
      <c r="S215" s="271">
        <f t="shared" si="56"/>
        <v>55000</v>
      </c>
      <c r="T215" s="271">
        <f t="shared" si="56"/>
        <v>62000</v>
      </c>
      <c r="U215" s="132">
        <f t="shared" si="55"/>
        <v>112.72727272727272</v>
      </c>
      <c r="V215" s="133">
        <f t="shared" si="48"/>
        <v>0.0015748386821154332</v>
      </c>
      <c r="W215" s="133">
        <f t="shared" si="53"/>
        <v>0.0018905324391887371</v>
      </c>
    </row>
    <row r="216" spans="1:23" ht="25.5" customHeight="1">
      <c r="A216" s="24" t="s">
        <v>85</v>
      </c>
      <c r="B216" s="126" t="s">
        <v>156</v>
      </c>
      <c r="C216" s="33"/>
      <c r="D216" s="33">
        <v>70005</v>
      </c>
      <c r="E216" s="33">
        <v>2110</v>
      </c>
      <c r="F216" s="5">
        <v>15000</v>
      </c>
      <c r="G216" s="123">
        <v>37000</v>
      </c>
      <c r="H216" s="121">
        <f t="shared" si="54"/>
        <v>246.66666666666669</v>
      </c>
      <c r="I216" s="6" t="e">
        <f>F216/F256</f>
        <v>#REF!</v>
      </c>
      <c r="J216" s="8"/>
      <c r="K216" s="8">
        <v>0</v>
      </c>
      <c r="L216" s="8">
        <v>0</v>
      </c>
      <c r="M216" s="8">
        <v>4000</v>
      </c>
      <c r="N216" s="8">
        <v>0</v>
      </c>
      <c r="O216" s="8">
        <v>0</v>
      </c>
      <c r="P216" s="8">
        <v>22000</v>
      </c>
      <c r="Q216" s="8">
        <v>0</v>
      </c>
      <c r="R216" s="8">
        <v>0</v>
      </c>
      <c r="S216" s="212">
        <v>55000</v>
      </c>
      <c r="T216" s="8">
        <v>62000</v>
      </c>
      <c r="U216" s="132">
        <f t="shared" si="55"/>
        <v>112.72727272727272</v>
      </c>
      <c r="V216" s="133">
        <f t="shared" si="48"/>
        <v>0.0015748386821154332</v>
      </c>
      <c r="W216" s="6">
        <f t="shared" si="53"/>
        <v>0.0018905324391887371</v>
      </c>
    </row>
    <row r="217" spans="1:23" ht="14.25" customHeight="1">
      <c r="A217" s="19" t="s">
        <v>906</v>
      </c>
      <c r="B217" s="371" t="s">
        <v>157</v>
      </c>
      <c r="C217" s="33">
        <v>710</v>
      </c>
      <c r="D217" s="33"/>
      <c r="E217" s="33"/>
      <c r="F217" s="5">
        <f>F218+F219+F220</f>
        <v>170602</v>
      </c>
      <c r="G217" s="122">
        <f>G218+G219+G220</f>
        <v>139020</v>
      </c>
      <c r="H217" s="115">
        <f t="shared" si="54"/>
        <v>81.48790752746157</v>
      </c>
      <c r="I217" s="10" t="e">
        <f>F217/F256</f>
        <v>#REF!</v>
      </c>
      <c r="J217" s="7"/>
      <c r="K217" s="7">
        <f aca="true" t="shared" si="57" ref="K217:P217">K218+K219+K220</f>
        <v>0</v>
      </c>
      <c r="L217" s="7">
        <f t="shared" si="57"/>
        <v>0</v>
      </c>
      <c r="M217" s="7">
        <f t="shared" si="57"/>
        <v>114563</v>
      </c>
      <c r="N217" s="7">
        <f t="shared" si="57"/>
        <v>0</v>
      </c>
      <c r="O217" s="7">
        <f t="shared" si="57"/>
        <v>0</v>
      </c>
      <c r="P217" s="151">
        <f t="shared" si="57"/>
        <v>137866</v>
      </c>
      <c r="Q217" s="151">
        <f>Q218+Q219+Q220</f>
        <v>0</v>
      </c>
      <c r="R217" s="151">
        <f>R218+R219+R220</f>
        <v>0</v>
      </c>
      <c r="S217" s="271">
        <f>S218+S219+S220+S221</f>
        <v>205452</v>
      </c>
      <c r="T217" s="271">
        <f>T218+T219+T220+T221</f>
        <v>243547</v>
      </c>
      <c r="U217" s="132">
        <f t="shared" si="55"/>
        <v>118.54204388372953</v>
      </c>
      <c r="V217" s="133">
        <f t="shared" si="48"/>
        <v>0.005882795580326909</v>
      </c>
      <c r="W217" s="133">
        <f t="shared" si="53"/>
        <v>0.007426346838179022</v>
      </c>
    </row>
    <row r="218" spans="1:23" ht="26.25" customHeight="1">
      <c r="A218" s="24" t="s">
        <v>85</v>
      </c>
      <c r="B218" s="126" t="s">
        <v>527</v>
      </c>
      <c r="C218" s="33"/>
      <c r="D218" s="33">
        <v>71013</v>
      </c>
      <c r="E218" s="33">
        <v>2110</v>
      </c>
      <c r="F218" s="5">
        <v>79900</v>
      </c>
      <c r="G218" s="123">
        <v>52100</v>
      </c>
      <c r="H218" s="121">
        <f t="shared" si="54"/>
        <v>65.20650813516896</v>
      </c>
      <c r="I218" s="6" t="e">
        <f>F218/F256</f>
        <v>#REF!</v>
      </c>
      <c r="J218" s="8"/>
      <c r="K218" s="8">
        <v>0</v>
      </c>
      <c r="L218" s="8">
        <v>0</v>
      </c>
      <c r="M218" s="8">
        <v>35000</v>
      </c>
      <c r="N218" s="8">
        <v>0</v>
      </c>
      <c r="O218" s="8">
        <v>0</v>
      </c>
      <c r="P218" s="8">
        <v>52000</v>
      </c>
      <c r="Q218" s="8">
        <v>0</v>
      </c>
      <c r="R218" s="8">
        <v>0</v>
      </c>
      <c r="S218" s="212">
        <v>42000</v>
      </c>
      <c r="T218" s="8">
        <v>40000</v>
      </c>
      <c r="U218" s="132">
        <f t="shared" si="55"/>
        <v>95.23809523809523</v>
      </c>
      <c r="V218" s="133">
        <f t="shared" si="48"/>
        <v>0.0012026040845245127</v>
      </c>
      <c r="W218" s="6">
        <f t="shared" si="53"/>
        <v>0.0012196983478637013</v>
      </c>
    </row>
    <row r="219" spans="1:23" ht="27.75" customHeight="1">
      <c r="A219" s="24" t="s">
        <v>96</v>
      </c>
      <c r="B219" s="126" t="s">
        <v>529</v>
      </c>
      <c r="C219" s="33"/>
      <c r="D219" s="33">
        <v>71014</v>
      </c>
      <c r="E219" s="33">
        <v>2110</v>
      </c>
      <c r="F219" s="5">
        <v>20000</v>
      </c>
      <c r="G219" s="123">
        <v>8000</v>
      </c>
      <c r="H219" s="121">
        <f t="shared" si="54"/>
        <v>40</v>
      </c>
      <c r="I219" s="6" t="e">
        <f>F219/F256</f>
        <v>#REF!</v>
      </c>
      <c r="J219" s="8"/>
      <c r="K219" s="8">
        <v>0</v>
      </c>
      <c r="L219" s="8">
        <v>0</v>
      </c>
      <c r="M219" s="8">
        <v>4000</v>
      </c>
      <c r="N219" s="8">
        <v>0</v>
      </c>
      <c r="O219" s="8">
        <v>0</v>
      </c>
      <c r="P219" s="8">
        <v>4000</v>
      </c>
      <c r="Q219" s="8">
        <v>0</v>
      </c>
      <c r="R219" s="8">
        <v>0</v>
      </c>
      <c r="S219" s="212">
        <v>8000</v>
      </c>
      <c r="T219" s="8">
        <v>22000</v>
      </c>
      <c r="U219" s="132">
        <f t="shared" si="55"/>
        <v>275</v>
      </c>
      <c r="V219" s="133">
        <f aca="true" t="shared" si="58" ref="V219:V239">S219/$S$256</f>
        <v>0.00022906744467133576</v>
      </c>
      <c r="W219" s="6">
        <f t="shared" si="53"/>
        <v>0.0006708340913250358</v>
      </c>
    </row>
    <row r="220" spans="1:23" ht="19.5" customHeight="1">
      <c r="A220" s="24" t="s">
        <v>139</v>
      </c>
      <c r="B220" s="126" t="s">
        <v>531</v>
      </c>
      <c r="C220" s="33"/>
      <c r="D220" s="33">
        <v>71015</v>
      </c>
      <c r="E220" s="33">
        <v>2110</v>
      </c>
      <c r="F220" s="5">
        <v>70702</v>
      </c>
      <c r="G220" s="123">
        <v>78920</v>
      </c>
      <c r="H220" s="121">
        <f t="shared" si="54"/>
        <v>111.62343356623575</v>
      </c>
      <c r="I220" s="6" t="e">
        <f>F220/F256</f>
        <v>#REF!</v>
      </c>
      <c r="J220" s="8"/>
      <c r="K220" s="8">
        <v>0</v>
      </c>
      <c r="L220" s="8">
        <v>0</v>
      </c>
      <c r="M220" s="8">
        <v>75563</v>
      </c>
      <c r="N220" s="8">
        <v>0</v>
      </c>
      <c r="O220" s="8">
        <v>0</v>
      </c>
      <c r="P220" s="8">
        <v>81866</v>
      </c>
      <c r="Q220" s="8">
        <v>0</v>
      </c>
      <c r="R220" s="8">
        <v>0</v>
      </c>
      <c r="S220" s="212">
        <v>151952</v>
      </c>
      <c r="T220" s="8">
        <v>181547</v>
      </c>
      <c r="U220" s="132">
        <f t="shared" si="55"/>
        <v>119.47654522480784</v>
      </c>
      <c r="V220" s="133">
        <f t="shared" si="58"/>
        <v>0.004350907044087351</v>
      </c>
      <c r="W220" s="6">
        <f t="shared" si="53"/>
        <v>0.005535814398990285</v>
      </c>
    </row>
    <row r="221" spans="1:23" ht="18" customHeight="1">
      <c r="A221" s="24" t="s">
        <v>141</v>
      </c>
      <c r="B221" s="126" t="s">
        <v>933</v>
      </c>
      <c r="C221" s="33"/>
      <c r="D221" s="33">
        <v>71015</v>
      </c>
      <c r="E221" s="33">
        <v>6410</v>
      </c>
      <c r="F221" s="5"/>
      <c r="G221" s="123"/>
      <c r="H221" s="121"/>
      <c r="I221" s="6"/>
      <c r="J221" s="8"/>
      <c r="K221" s="8"/>
      <c r="L221" s="8"/>
      <c r="M221" s="8"/>
      <c r="N221" s="8"/>
      <c r="O221" s="8"/>
      <c r="P221" s="8"/>
      <c r="Q221" s="8"/>
      <c r="R221" s="8"/>
      <c r="S221" s="212">
        <v>3500</v>
      </c>
      <c r="T221" s="212">
        <v>0</v>
      </c>
      <c r="U221" s="132">
        <f aca="true" t="shared" si="59" ref="U221:U226">T221/S221*100</f>
        <v>0</v>
      </c>
      <c r="V221" s="133">
        <f t="shared" si="58"/>
        <v>0.00010021700704370939</v>
      </c>
      <c r="W221" s="6">
        <f t="shared" si="53"/>
        <v>0</v>
      </c>
    </row>
    <row r="222" spans="1:23" ht="16.5" customHeight="1">
      <c r="A222" s="19" t="s">
        <v>908</v>
      </c>
      <c r="B222" s="371" t="s">
        <v>124</v>
      </c>
      <c r="C222" s="33">
        <v>750</v>
      </c>
      <c r="D222" s="33"/>
      <c r="E222" s="58"/>
      <c r="F222" s="9">
        <f>F223+F224</f>
        <v>142453</v>
      </c>
      <c r="G222" s="122">
        <f>G223+G224</f>
        <v>144857</v>
      </c>
      <c r="H222" s="115">
        <f t="shared" si="54"/>
        <v>101.68757414726261</v>
      </c>
      <c r="I222" s="10" t="e">
        <f>F222/F256</f>
        <v>#REF!</v>
      </c>
      <c r="J222" s="7"/>
      <c r="K222" s="7">
        <f aca="true" t="shared" si="60" ref="K222:P222">K223+K224</f>
        <v>0</v>
      </c>
      <c r="L222" s="7">
        <f t="shared" si="60"/>
        <v>0</v>
      </c>
      <c r="M222" s="7">
        <f t="shared" si="60"/>
        <v>97055</v>
      </c>
      <c r="N222" s="7">
        <f t="shared" si="60"/>
        <v>0</v>
      </c>
      <c r="O222" s="7">
        <f t="shared" si="60"/>
        <v>0</v>
      </c>
      <c r="P222" s="151">
        <f t="shared" si="60"/>
        <v>103976</v>
      </c>
      <c r="Q222" s="151">
        <f>Q223+Q224</f>
        <v>0</v>
      </c>
      <c r="R222" s="151">
        <f>R223+R224</f>
        <v>0</v>
      </c>
      <c r="S222" s="271">
        <f>S223+S224</f>
        <v>107746</v>
      </c>
      <c r="T222" s="271">
        <f>T223+T224</f>
        <v>115748</v>
      </c>
      <c r="U222" s="132">
        <f t="shared" si="59"/>
        <v>107.42672581812782</v>
      </c>
      <c r="V222" s="133">
        <f t="shared" si="58"/>
        <v>0.003085137611694718</v>
      </c>
      <c r="W222" s="133">
        <f t="shared" si="53"/>
        <v>0.0035294411092131927</v>
      </c>
    </row>
    <row r="223" spans="1:23" ht="21.75" customHeight="1">
      <c r="A223" s="24" t="s">
        <v>85</v>
      </c>
      <c r="B223" s="126" t="s">
        <v>93</v>
      </c>
      <c r="C223" s="33"/>
      <c r="D223" s="33">
        <v>75011</v>
      </c>
      <c r="E223" s="33">
        <v>2110</v>
      </c>
      <c r="F223" s="5">
        <v>120453</v>
      </c>
      <c r="G223" s="123">
        <v>120857</v>
      </c>
      <c r="H223" s="121">
        <f t="shared" si="54"/>
        <v>100.33540052966717</v>
      </c>
      <c r="I223" s="6" t="e">
        <f>F223/F256</f>
        <v>#REF!</v>
      </c>
      <c r="J223" s="8"/>
      <c r="K223" s="8">
        <v>0</v>
      </c>
      <c r="L223" s="8">
        <v>0</v>
      </c>
      <c r="M223" s="8">
        <v>86463</v>
      </c>
      <c r="N223" s="8">
        <v>0</v>
      </c>
      <c r="O223" s="8">
        <v>0</v>
      </c>
      <c r="P223" s="8">
        <v>89799</v>
      </c>
      <c r="Q223" s="8">
        <v>0</v>
      </c>
      <c r="R223" s="8">
        <v>0</v>
      </c>
      <c r="S223" s="212">
        <v>94258</v>
      </c>
      <c r="T223" s="8">
        <v>102748</v>
      </c>
      <c r="U223" s="132">
        <f t="shared" si="59"/>
        <v>109.00719302340384</v>
      </c>
      <c r="V223" s="133">
        <f t="shared" si="58"/>
        <v>0.0026989298999788454</v>
      </c>
      <c r="W223" s="6">
        <f t="shared" si="53"/>
        <v>0.00313303914615749</v>
      </c>
    </row>
    <row r="224" spans="1:23" ht="22.5" customHeight="1">
      <c r="A224" s="24" t="s">
        <v>96</v>
      </c>
      <c r="B224" s="126" t="s">
        <v>553</v>
      </c>
      <c r="C224" s="33"/>
      <c r="D224" s="33">
        <v>75045</v>
      </c>
      <c r="E224" s="33">
        <v>2110</v>
      </c>
      <c r="F224" s="5">
        <v>22000</v>
      </c>
      <c r="G224" s="123">
        <v>24000</v>
      </c>
      <c r="H224" s="121">
        <f t="shared" si="54"/>
        <v>109.09090909090908</v>
      </c>
      <c r="I224" s="6" t="e">
        <f>F224/F256</f>
        <v>#REF!</v>
      </c>
      <c r="J224" s="8"/>
      <c r="K224" s="8">
        <v>0</v>
      </c>
      <c r="L224" s="8">
        <v>0</v>
      </c>
      <c r="M224" s="8">
        <v>10592</v>
      </c>
      <c r="N224" s="8">
        <v>0</v>
      </c>
      <c r="O224" s="8">
        <v>0</v>
      </c>
      <c r="P224" s="8">
        <v>14177</v>
      </c>
      <c r="Q224" s="8">
        <v>0</v>
      </c>
      <c r="R224" s="8">
        <v>0</v>
      </c>
      <c r="S224" s="212">
        <v>13488</v>
      </c>
      <c r="T224" s="8">
        <v>13000</v>
      </c>
      <c r="U224" s="132">
        <f t="shared" si="59"/>
        <v>96.38196915776986</v>
      </c>
      <c r="V224" s="133">
        <f t="shared" si="58"/>
        <v>0.00038620771171587207</v>
      </c>
      <c r="W224" s="6">
        <f t="shared" si="53"/>
        <v>0.00039640196305570295</v>
      </c>
    </row>
    <row r="225" spans="1:23" ht="24.75" customHeight="1">
      <c r="A225" s="19" t="s">
        <v>910</v>
      </c>
      <c r="B225" s="371" t="s">
        <v>128</v>
      </c>
      <c r="C225" s="33">
        <v>754</v>
      </c>
      <c r="D225" s="33"/>
      <c r="E225" s="33"/>
      <c r="F225" s="5" t="e">
        <f>#REF!+F226</f>
        <v>#REF!</v>
      </c>
      <c r="G225" s="122" t="e">
        <f>#REF!+G226</f>
        <v>#REF!</v>
      </c>
      <c r="H225" s="115" t="e">
        <f t="shared" si="54"/>
        <v>#REF!</v>
      </c>
      <c r="I225" s="10" t="e">
        <f>F225/F256</f>
        <v>#REF!</v>
      </c>
      <c r="J225" s="7"/>
      <c r="K225" s="7" t="e">
        <f>#REF!+K226</f>
        <v>#REF!</v>
      </c>
      <c r="L225" s="7" t="e">
        <f>#REF!+L226</f>
        <v>#REF!</v>
      </c>
      <c r="M225" s="7" t="e">
        <f>#REF!+M226</f>
        <v>#REF!</v>
      </c>
      <c r="N225" s="7" t="e">
        <f>#REF!+N226</f>
        <v>#REF!</v>
      </c>
      <c r="O225" s="7" t="e">
        <f>#REF!+O226</f>
        <v>#REF!</v>
      </c>
      <c r="P225" s="151" t="e">
        <f>#REF!+P226</f>
        <v>#REF!</v>
      </c>
      <c r="Q225" s="151" t="e">
        <f>#REF!+Q226</f>
        <v>#REF!</v>
      </c>
      <c r="R225" s="151" t="e">
        <f>#REF!+R226</f>
        <v>#REF!</v>
      </c>
      <c r="S225" s="271">
        <f>S226+S227</f>
        <v>2026000</v>
      </c>
      <c r="T225" s="271">
        <f>T226+T227</f>
        <v>2309000</v>
      </c>
      <c r="U225" s="132">
        <f t="shared" si="59"/>
        <v>113.96841066140178</v>
      </c>
      <c r="V225" s="133">
        <f t="shared" si="58"/>
        <v>0.05801133036301578</v>
      </c>
      <c r="W225" s="133">
        <f t="shared" si="53"/>
        <v>0.07040708713043216</v>
      </c>
    </row>
    <row r="226" spans="1:23" ht="27" customHeight="1">
      <c r="A226" s="24" t="s">
        <v>85</v>
      </c>
      <c r="B226" s="126" t="s">
        <v>871</v>
      </c>
      <c r="C226" s="33"/>
      <c r="D226" s="33">
        <v>75411</v>
      </c>
      <c r="E226" s="33">
        <v>2110</v>
      </c>
      <c r="F226" s="5">
        <v>2662024</v>
      </c>
      <c r="G226" s="123">
        <v>2874880</v>
      </c>
      <c r="H226" s="121">
        <f t="shared" si="54"/>
        <v>107.99602107268755</v>
      </c>
      <c r="I226" s="6" t="e">
        <f>F226/F256</f>
        <v>#REF!</v>
      </c>
      <c r="J226" s="8"/>
      <c r="K226" s="8">
        <v>0</v>
      </c>
      <c r="L226" s="8">
        <v>0</v>
      </c>
      <c r="M226" s="20">
        <v>1730000</v>
      </c>
      <c r="N226" s="20">
        <v>0</v>
      </c>
      <c r="O226" s="20">
        <v>0</v>
      </c>
      <c r="P226" s="8">
        <v>1833000</v>
      </c>
      <c r="Q226" s="8">
        <v>0</v>
      </c>
      <c r="R226" s="8">
        <v>0</v>
      </c>
      <c r="S226" s="212">
        <v>2007000</v>
      </c>
      <c r="T226" s="8">
        <v>2306000</v>
      </c>
      <c r="U226" s="132">
        <f t="shared" si="59"/>
        <v>114.89785749875436</v>
      </c>
      <c r="V226" s="133">
        <f t="shared" si="58"/>
        <v>0.057467295181921355</v>
      </c>
      <c r="W226" s="6">
        <f t="shared" si="53"/>
        <v>0.07031560975434238</v>
      </c>
    </row>
    <row r="227" spans="1:23" ht="15.75" customHeight="1">
      <c r="A227" s="24" t="s">
        <v>96</v>
      </c>
      <c r="B227" s="126" t="s">
        <v>668</v>
      </c>
      <c r="C227" s="33"/>
      <c r="D227" s="33">
        <v>75414</v>
      </c>
      <c r="E227" s="33">
        <v>2110</v>
      </c>
      <c r="F227" s="5"/>
      <c r="G227" s="123"/>
      <c r="H227" s="121"/>
      <c r="I227" s="6"/>
      <c r="J227" s="8"/>
      <c r="K227" s="8"/>
      <c r="L227" s="8"/>
      <c r="M227" s="20"/>
      <c r="N227" s="20"/>
      <c r="O227" s="20"/>
      <c r="P227" s="8"/>
      <c r="Q227" s="8"/>
      <c r="R227" s="8"/>
      <c r="S227" s="212">
        <v>19000</v>
      </c>
      <c r="T227" s="212">
        <v>3000</v>
      </c>
      <c r="U227" s="132">
        <v>0</v>
      </c>
      <c r="V227" s="133">
        <f t="shared" si="58"/>
        <v>0.0005440351810944224</v>
      </c>
      <c r="W227" s="133">
        <f t="shared" si="53"/>
        <v>9.14773760897776E-05</v>
      </c>
    </row>
    <row r="228" spans="1:23" ht="18" customHeight="1">
      <c r="A228" s="19" t="s">
        <v>968</v>
      </c>
      <c r="B228" s="108" t="s">
        <v>158</v>
      </c>
      <c r="C228" s="33">
        <v>851</v>
      </c>
      <c r="D228" s="33"/>
      <c r="E228" s="33"/>
      <c r="F228" s="5" t="e">
        <f>#REF!</f>
        <v>#REF!</v>
      </c>
      <c r="G228" s="122" t="e">
        <f>#REF!+G229</f>
        <v>#REF!</v>
      </c>
      <c r="H228" s="115" t="e">
        <f t="shared" si="54"/>
        <v>#REF!</v>
      </c>
      <c r="I228" s="10" t="e">
        <f>F228/F256</f>
        <v>#REF!</v>
      </c>
      <c r="J228" s="7"/>
      <c r="K228" s="7" t="e">
        <f>#REF!+K229</f>
        <v>#REF!</v>
      </c>
      <c r="L228" s="7" t="e">
        <f>#REF!+L229</f>
        <v>#REF!</v>
      </c>
      <c r="M228" s="7" t="e">
        <f>#REF!+M229</f>
        <v>#REF!</v>
      </c>
      <c r="N228" s="7">
        <f aca="true" t="shared" si="61" ref="N228:T228">N229</f>
        <v>0</v>
      </c>
      <c r="O228" s="7">
        <f t="shared" si="61"/>
        <v>70165</v>
      </c>
      <c r="P228" s="151">
        <f t="shared" si="61"/>
        <v>363000</v>
      </c>
      <c r="Q228" s="151">
        <f t="shared" si="61"/>
        <v>0</v>
      </c>
      <c r="R228" s="151">
        <f t="shared" si="61"/>
        <v>0</v>
      </c>
      <c r="S228" s="271">
        <f t="shared" si="61"/>
        <v>477000</v>
      </c>
      <c r="T228" s="271">
        <f t="shared" si="61"/>
        <v>545000</v>
      </c>
      <c r="U228" s="132">
        <f aca="true" t="shared" si="62" ref="U228:U235">T228/S228*100</f>
        <v>114.25576519916143</v>
      </c>
      <c r="V228" s="133">
        <f t="shared" si="58"/>
        <v>0.013658146388528395</v>
      </c>
      <c r="W228" s="133">
        <f t="shared" si="53"/>
        <v>0.01661838998964293</v>
      </c>
    </row>
    <row r="229" spans="1:23" ht="25.5" customHeight="1">
      <c r="A229" s="24" t="s">
        <v>85</v>
      </c>
      <c r="B229" s="126" t="s">
        <v>159</v>
      </c>
      <c r="C229" s="33"/>
      <c r="D229" s="33">
        <v>85156</v>
      </c>
      <c r="E229" s="33">
        <v>2110</v>
      </c>
      <c r="F229" s="5"/>
      <c r="G229" s="123">
        <v>2010880</v>
      </c>
      <c r="H229" s="121"/>
      <c r="I229" s="6"/>
      <c r="J229" s="8"/>
      <c r="K229" s="8">
        <v>0</v>
      </c>
      <c r="L229" s="8">
        <v>0</v>
      </c>
      <c r="M229" s="8">
        <v>567150</v>
      </c>
      <c r="N229" s="8">
        <v>0</v>
      </c>
      <c r="O229" s="8">
        <v>70165</v>
      </c>
      <c r="P229" s="8">
        <v>363000</v>
      </c>
      <c r="Q229" s="8">
        <v>0</v>
      </c>
      <c r="R229" s="8">
        <v>0</v>
      </c>
      <c r="S229" s="212">
        <v>477000</v>
      </c>
      <c r="T229" s="8">
        <v>545000</v>
      </c>
      <c r="U229" s="132">
        <f t="shared" si="62"/>
        <v>114.25576519916143</v>
      </c>
      <c r="V229" s="133">
        <f t="shared" si="58"/>
        <v>0.013658146388528395</v>
      </c>
      <c r="W229" s="133">
        <f t="shared" si="53"/>
        <v>0.01661838998964293</v>
      </c>
    </row>
    <row r="230" spans="1:23" ht="16.5" customHeight="1">
      <c r="A230" s="19" t="s">
        <v>970</v>
      </c>
      <c r="B230" s="108" t="s">
        <v>593</v>
      </c>
      <c r="C230" s="58">
        <v>852</v>
      </c>
      <c r="D230" s="58"/>
      <c r="E230" s="58"/>
      <c r="F230" s="9" t="e">
        <f>#REF!+#REF!+#REF!+#REF!+#REF!</f>
        <v>#REF!</v>
      </c>
      <c r="G230" s="122" t="e">
        <f>#REF!+#REF!+#REF!+#REF!+#REF!</f>
        <v>#REF!</v>
      </c>
      <c r="H230" s="115" t="e">
        <f t="shared" si="54"/>
        <v>#REF!</v>
      </c>
      <c r="I230" s="10" t="e">
        <f>F230/F256</f>
        <v>#REF!</v>
      </c>
      <c r="J230" s="7"/>
      <c r="K230" s="7" t="e">
        <f>#REF!+#REF!+#REF!+#REF!</f>
        <v>#REF!</v>
      </c>
      <c r="L230" s="7" t="e">
        <f>#REF!+#REF!+#REF!+#REF!</f>
        <v>#REF!</v>
      </c>
      <c r="M230" s="7" t="e">
        <f>#REF!+#REF!+#REF!+#REF!</f>
        <v>#REF!</v>
      </c>
      <c r="N230" s="7" t="e">
        <f>#REF!+#REF!+#REF!+#REF!</f>
        <v>#REF!</v>
      </c>
      <c r="O230" s="7" t="e">
        <f>#REF!+#REF!+#REF!+#REF!</f>
        <v>#REF!</v>
      </c>
      <c r="P230" s="7" t="e">
        <f>#REF!+#REF!+#REF!+#REF!</f>
        <v>#REF!</v>
      </c>
      <c r="Q230" s="7" t="e">
        <f>#REF!+#REF!+#REF!+#REF!</f>
        <v>#REF!</v>
      </c>
      <c r="R230" s="7" t="e">
        <f>#REF!+#REF!+#REF!+#REF!</f>
        <v>#REF!</v>
      </c>
      <c r="S230" s="272">
        <f>S231</f>
        <v>9381</v>
      </c>
      <c r="T230" s="272">
        <f>T231</f>
        <v>0</v>
      </c>
      <c r="U230" s="132">
        <f t="shared" si="62"/>
        <v>0</v>
      </c>
      <c r="V230" s="133">
        <f t="shared" si="58"/>
        <v>0.0002686102123077251</v>
      </c>
      <c r="W230" s="133">
        <f t="shared" si="53"/>
        <v>0.016665650418748165</v>
      </c>
    </row>
    <row r="231" spans="1:23" ht="27.75" customHeight="1">
      <c r="A231" s="21" t="s">
        <v>85</v>
      </c>
      <c r="B231" s="474" t="s">
        <v>934</v>
      </c>
      <c r="C231" s="33"/>
      <c r="D231" s="33">
        <v>85212</v>
      </c>
      <c r="E231" s="33">
        <v>2110</v>
      </c>
      <c r="F231" s="107"/>
      <c r="G231" s="131"/>
      <c r="H231" s="121"/>
      <c r="I231" s="6"/>
      <c r="J231" s="8"/>
      <c r="K231" s="8"/>
      <c r="L231" s="8"/>
      <c r="M231" s="8"/>
      <c r="N231" s="8"/>
      <c r="O231" s="8"/>
      <c r="P231" s="8"/>
      <c r="Q231" s="8"/>
      <c r="R231" s="8"/>
      <c r="S231" s="212">
        <v>9381</v>
      </c>
      <c r="T231" s="8">
        <f>T230</f>
        <v>0</v>
      </c>
      <c r="U231" s="132">
        <f t="shared" si="62"/>
        <v>0</v>
      </c>
      <c r="V231" s="133">
        <f t="shared" si="58"/>
        <v>0.0002686102123077251</v>
      </c>
      <c r="W231" s="133">
        <f t="shared" si="53"/>
        <v>0.016665650418748165</v>
      </c>
    </row>
    <row r="232" spans="1:23" ht="27" customHeight="1" thickBot="1">
      <c r="A232" s="423" t="s">
        <v>153</v>
      </c>
      <c r="B232" s="475" t="s">
        <v>150</v>
      </c>
      <c r="C232" s="353"/>
      <c r="D232" s="353"/>
      <c r="E232" s="353"/>
      <c r="F232" s="354" t="e">
        <f>#REF!+#REF!+F233+#REF!</f>
        <v>#REF!</v>
      </c>
      <c r="G232" s="355" t="e">
        <f>#REF!+#REF!+G233+#REF!+#REF!+#REF!</f>
        <v>#REF!</v>
      </c>
      <c r="H232" s="356" t="e">
        <f>IF(F232&gt;0,G232/F232*100,"")</f>
        <v>#REF!</v>
      </c>
      <c r="I232" s="357" t="e">
        <f>F232/F256</f>
        <v>#REF!</v>
      </c>
      <c r="J232" s="358"/>
      <c r="K232" s="359" t="e">
        <f>K233+#REF!+#REF!+#REF!+#REF!+#REF!</f>
        <v>#REF!</v>
      </c>
      <c r="L232" s="359" t="e">
        <f>L233+#REF!+#REF!+#REF!+#REF!+#REF!</f>
        <v>#REF!</v>
      </c>
      <c r="M232" s="359" t="e">
        <f>#REF!+#REF!+#REF!+#REF!+M233+#REF!+#REF!</f>
        <v>#REF!</v>
      </c>
      <c r="N232" s="359" t="e">
        <f>#REF!+#REF!+#REF!+#REF!+N233+#REF!+#REF!</f>
        <v>#REF!</v>
      </c>
      <c r="O232" s="359" t="e">
        <f>#REF!+#REF!+#REF!+#REF!+O233+#REF!+#REF!</f>
        <v>#REF!</v>
      </c>
      <c r="P232" s="359" t="e">
        <f>#REF!+#REF!+P233+#REF!+#REF!+#REF!+#REF!</f>
        <v>#REF!</v>
      </c>
      <c r="Q232" s="359" t="e">
        <f>#REF!+#REF!+Q233+#REF!+#REF!+#REF!+#REF!</f>
        <v>#REF!</v>
      </c>
      <c r="R232" s="359" t="e">
        <f>#REF!+#REF!+R233+#REF!+#REF!+#REF!+#REF!</f>
        <v>#REF!</v>
      </c>
      <c r="S232" s="360">
        <f>S233</f>
        <v>693250</v>
      </c>
      <c r="T232" s="360">
        <f>T233</f>
        <v>490000</v>
      </c>
      <c r="U232" s="493">
        <f t="shared" si="62"/>
        <v>70.6815723043635</v>
      </c>
      <c r="V232" s="357">
        <f t="shared" si="58"/>
        <v>0.019850125752300437</v>
      </c>
      <c r="W232" s="494">
        <f t="shared" si="53"/>
        <v>0.014941304761330342</v>
      </c>
    </row>
    <row r="233" spans="1:23" ht="15" customHeight="1">
      <c r="A233" s="19">
        <v>1</v>
      </c>
      <c r="B233" s="472" t="s">
        <v>593</v>
      </c>
      <c r="C233" s="58">
        <v>852</v>
      </c>
      <c r="D233" s="33"/>
      <c r="E233" s="33"/>
      <c r="F233" s="5" t="e">
        <f>#REF!+F234+#REF!+#REF!</f>
        <v>#REF!</v>
      </c>
      <c r="G233" s="118" t="e">
        <f>#REF!+G234+#REF!+#REF!+#REF!+#REF!</f>
        <v>#REF!</v>
      </c>
      <c r="H233" s="115" t="e">
        <f>IF(F233&gt;0,G233/F233*100,"")</f>
        <v>#REF!</v>
      </c>
      <c r="I233" s="10" t="e">
        <f>F233/F256</f>
        <v>#REF!</v>
      </c>
      <c r="J233" s="145"/>
      <c r="K233" s="7" t="e">
        <f>#REF!+K234+#REF!+#REF!+#REF!+#REF!</f>
        <v>#REF!</v>
      </c>
      <c r="L233" s="7" t="e">
        <f>#REF!+L234+#REF!+#REF!+#REF!+#REF!</f>
        <v>#REF!</v>
      </c>
      <c r="M233" s="7" t="e">
        <f>#REF!+M234+#REF!+#REF!+#REF!+#REF!</f>
        <v>#REF!</v>
      </c>
      <c r="N233" s="7" t="e">
        <f>#REF!+N234+#REF!+#REF!+#REF!+#REF!</f>
        <v>#REF!</v>
      </c>
      <c r="O233" s="7" t="e">
        <f>#REF!+O234+#REF!+#REF!+#REF!+#REF!</f>
        <v>#REF!</v>
      </c>
      <c r="P233" s="271" t="e">
        <f>#REF!+P234+#REF!+#REF!+#REF!+#REF!</f>
        <v>#REF!</v>
      </c>
      <c r="Q233" s="271" t="e">
        <f>#REF!+Q234+#REF!+#REF!+#REF!+#REF!</f>
        <v>#REF!</v>
      </c>
      <c r="R233" s="271" t="e">
        <f>#REF!+R234+#REF!+#REF!+#REF!+#REF!</f>
        <v>#REF!</v>
      </c>
      <c r="S233" s="271">
        <f>S234+S235</f>
        <v>693250</v>
      </c>
      <c r="T233" s="271">
        <f>T234+T235</f>
        <v>490000</v>
      </c>
      <c r="U233" s="132">
        <f t="shared" si="62"/>
        <v>70.6815723043635</v>
      </c>
      <c r="V233" s="133">
        <f>S233/$S$256</f>
        <v>0.019850125752300437</v>
      </c>
      <c r="W233" s="133">
        <f t="shared" si="53"/>
        <v>0.014941304761330342</v>
      </c>
    </row>
    <row r="234" spans="1:23" ht="14.25" customHeight="1">
      <c r="A234" s="24" t="s">
        <v>85</v>
      </c>
      <c r="B234" s="126" t="s">
        <v>708</v>
      </c>
      <c r="C234" s="33"/>
      <c r="D234" s="58">
        <v>85202</v>
      </c>
      <c r="E234" s="58">
        <v>2130</v>
      </c>
      <c r="F234" s="9">
        <f>F235</f>
        <v>567120</v>
      </c>
      <c r="G234" s="122">
        <f>G235</f>
        <v>476480</v>
      </c>
      <c r="H234" s="115">
        <f>IF(F234&gt;0,G234/F234*100,"")</f>
        <v>84.01749188884186</v>
      </c>
      <c r="I234" s="115" t="e">
        <f>F234/F256</f>
        <v>#REF!</v>
      </c>
      <c r="J234" s="145"/>
      <c r="K234" s="7">
        <f aca="true" t="shared" si="63" ref="K234:R234">K235</f>
        <v>25344</v>
      </c>
      <c r="L234" s="7">
        <f t="shared" si="63"/>
        <v>0</v>
      </c>
      <c r="M234" s="7">
        <f t="shared" si="63"/>
        <v>556758</v>
      </c>
      <c r="N234" s="7">
        <f t="shared" si="63"/>
        <v>0</v>
      </c>
      <c r="O234" s="7">
        <f t="shared" si="63"/>
        <v>0</v>
      </c>
      <c r="P234" s="271">
        <f t="shared" si="63"/>
        <v>559000</v>
      </c>
      <c r="Q234" s="271">
        <f t="shared" si="63"/>
        <v>0</v>
      </c>
      <c r="R234" s="271">
        <f t="shared" si="63"/>
        <v>0</v>
      </c>
      <c r="S234" s="280">
        <v>656600</v>
      </c>
      <c r="T234" s="280">
        <v>490000</v>
      </c>
      <c r="U234" s="132">
        <f t="shared" si="62"/>
        <v>74.6268656716418</v>
      </c>
      <c r="V234" s="133">
        <f t="shared" si="58"/>
        <v>0.01880071052139988</v>
      </c>
      <c r="W234" s="133">
        <f t="shared" si="53"/>
        <v>0.014941304761330342</v>
      </c>
    </row>
    <row r="235" spans="1:23" ht="32.25" customHeight="1" thickBot="1">
      <c r="A235" s="24" t="s">
        <v>96</v>
      </c>
      <c r="B235" s="259" t="s">
        <v>935</v>
      </c>
      <c r="C235" s="33"/>
      <c r="D235" s="33"/>
      <c r="E235" s="33">
        <v>2130</v>
      </c>
      <c r="F235" s="5">
        <v>567120</v>
      </c>
      <c r="G235" s="123">
        <v>476480</v>
      </c>
      <c r="H235" s="121">
        <f>IF(F235&gt;0,G235/F235*100,"")</f>
        <v>84.01749188884186</v>
      </c>
      <c r="I235" s="121" t="e">
        <f>F235/F256</f>
        <v>#REF!</v>
      </c>
      <c r="J235" s="41"/>
      <c r="K235" s="8">
        <v>25344</v>
      </c>
      <c r="L235" s="8">
        <v>0</v>
      </c>
      <c r="M235" s="8">
        <v>556758</v>
      </c>
      <c r="N235" s="8">
        <v>0</v>
      </c>
      <c r="O235" s="8">
        <v>0</v>
      </c>
      <c r="P235" s="212">
        <v>559000</v>
      </c>
      <c r="Q235" s="212">
        <v>0</v>
      </c>
      <c r="R235" s="212">
        <v>0</v>
      </c>
      <c r="S235" s="212">
        <v>36650</v>
      </c>
      <c r="T235" s="8">
        <v>0</v>
      </c>
      <c r="U235" s="132">
        <f t="shared" si="62"/>
        <v>0</v>
      </c>
      <c r="V235" s="6">
        <f t="shared" si="58"/>
        <v>0.0010494152309005569</v>
      </c>
      <c r="W235" s="6">
        <f t="shared" si="53"/>
        <v>0</v>
      </c>
    </row>
    <row r="236" spans="1:23" ht="27" customHeight="1">
      <c r="A236" s="480" t="s">
        <v>962</v>
      </c>
      <c r="B236" s="481" t="s">
        <v>936</v>
      </c>
      <c r="C236" s="482"/>
      <c r="D236" s="482"/>
      <c r="E236" s="482"/>
      <c r="F236" s="483"/>
      <c r="G236" s="484">
        <f>G241</f>
        <v>71700</v>
      </c>
      <c r="H236" s="392"/>
      <c r="I236" s="395"/>
      <c r="J236" s="391"/>
      <c r="K236" s="391">
        <f>K241</f>
        <v>0</v>
      </c>
      <c r="L236" s="391">
        <f>L241</f>
        <v>0</v>
      </c>
      <c r="M236" s="391" t="e">
        <f>M241+#REF!</f>
        <v>#REF!</v>
      </c>
      <c r="N236" s="391" t="e">
        <f>N241+#REF!</f>
        <v>#REF!</v>
      </c>
      <c r="O236" s="391" t="e">
        <f>O241+#REF!</f>
        <v>#REF!</v>
      </c>
      <c r="P236" s="391" t="e">
        <f>P241+#REF!</f>
        <v>#REF!</v>
      </c>
      <c r="Q236" s="391" t="e">
        <f>Q241+#REF!</f>
        <v>#REF!</v>
      </c>
      <c r="R236" s="391" t="e">
        <f>R241+#REF!</f>
        <v>#REF!</v>
      </c>
      <c r="S236" s="485">
        <f>S237+S239+S241+S243</f>
        <v>222058</v>
      </c>
      <c r="T236" s="485">
        <f>T237+T241+T239+T243</f>
        <v>40000</v>
      </c>
      <c r="U236" s="495">
        <f aca="true" t="shared" si="64" ref="U236:U244">T236/S236*100</f>
        <v>18.013311837447873</v>
      </c>
      <c r="V236" s="496">
        <f t="shared" si="58"/>
        <v>0.006358282328603434</v>
      </c>
      <c r="W236" s="497">
        <f t="shared" si="53"/>
        <v>0.0012196983478637013</v>
      </c>
    </row>
    <row r="237" spans="1:23" s="37" customFormat="1" ht="15.75" customHeight="1">
      <c r="A237" s="19" t="s">
        <v>903</v>
      </c>
      <c r="B237" s="4" t="s">
        <v>398</v>
      </c>
      <c r="C237" s="27" t="s">
        <v>456</v>
      </c>
      <c r="D237" s="27"/>
      <c r="E237" s="58"/>
      <c r="F237" s="9"/>
      <c r="G237" s="122"/>
      <c r="H237" s="115"/>
      <c r="I237" s="10"/>
      <c r="J237" s="7"/>
      <c r="K237" s="7"/>
      <c r="L237" s="7"/>
      <c r="M237" s="7"/>
      <c r="N237" s="7"/>
      <c r="O237" s="7"/>
      <c r="P237" s="7"/>
      <c r="Q237" s="7"/>
      <c r="R237" s="7"/>
      <c r="S237" s="7">
        <f>S238</f>
        <v>70000</v>
      </c>
      <c r="T237" s="7">
        <v>0</v>
      </c>
      <c r="U237" s="132">
        <f t="shared" si="64"/>
        <v>0</v>
      </c>
      <c r="V237" s="133">
        <f t="shared" si="58"/>
        <v>0.0020043401408741876</v>
      </c>
      <c r="W237" s="133">
        <f t="shared" si="53"/>
        <v>0</v>
      </c>
    </row>
    <row r="238" spans="1:23" ht="15" customHeight="1">
      <c r="A238" s="19"/>
      <c r="B238" s="29" t="s">
        <v>937</v>
      </c>
      <c r="C238" s="58"/>
      <c r="D238" s="22">
        <v>1028</v>
      </c>
      <c r="E238" s="22">
        <v>6260</v>
      </c>
      <c r="F238" s="107"/>
      <c r="G238" s="131"/>
      <c r="H238" s="132"/>
      <c r="I238" s="133"/>
      <c r="J238" s="20"/>
      <c r="K238" s="20"/>
      <c r="L238" s="20"/>
      <c r="M238" s="20"/>
      <c r="N238" s="20"/>
      <c r="O238" s="20"/>
      <c r="P238" s="8"/>
      <c r="Q238" s="8"/>
      <c r="R238" s="8"/>
      <c r="S238" s="8">
        <v>70000</v>
      </c>
      <c r="T238" s="8">
        <v>0</v>
      </c>
      <c r="U238" s="132">
        <f t="shared" si="64"/>
        <v>0</v>
      </c>
      <c r="V238" s="133">
        <f t="shared" si="58"/>
        <v>0.0020043401408741876</v>
      </c>
      <c r="W238" s="133">
        <f t="shared" si="53"/>
        <v>0</v>
      </c>
    </row>
    <row r="239" spans="1:23" s="37" customFormat="1" ht="15.75" customHeight="1">
      <c r="A239" s="19" t="s">
        <v>904</v>
      </c>
      <c r="B239" s="4" t="s">
        <v>144</v>
      </c>
      <c r="C239" s="58">
        <v>853</v>
      </c>
      <c r="D239" s="58"/>
      <c r="E239" s="58"/>
      <c r="F239" s="9"/>
      <c r="G239" s="122"/>
      <c r="H239" s="115"/>
      <c r="I239" s="10"/>
      <c r="J239" s="7"/>
      <c r="K239" s="7"/>
      <c r="L239" s="7"/>
      <c r="M239" s="7"/>
      <c r="N239" s="7"/>
      <c r="O239" s="7"/>
      <c r="P239" s="7"/>
      <c r="Q239" s="7"/>
      <c r="R239" s="7"/>
      <c r="S239" s="7">
        <f>S240</f>
        <v>85058</v>
      </c>
      <c r="T239" s="7">
        <f>T240</f>
        <v>0</v>
      </c>
      <c r="U239" s="132">
        <f t="shared" si="64"/>
        <v>0</v>
      </c>
      <c r="V239" s="133">
        <f t="shared" si="58"/>
        <v>0.0024355023386068097</v>
      </c>
      <c r="W239" s="133">
        <f t="shared" si="53"/>
        <v>0</v>
      </c>
    </row>
    <row r="240" spans="1:23" ht="45.75" customHeight="1">
      <c r="A240" s="19"/>
      <c r="B240" s="249" t="s">
        <v>938</v>
      </c>
      <c r="C240" s="22"/>
      <c r="D240" s="22">
        <v>85324</v>
      </c>
      <c r="E240" s="22">
        <v>6260</v>
      </c>
      <c r="F240" s="107"/>
      <c r="G240" s="131"/>
      <c r="H240" s="132"/>
      <c r="I240" s="133"/>
      <c r="J240" s="20"/>
      <c r="K240" s="20"/>
      <c r="L240" s="20"/>
      <c r="M240" s="8"/>
      <c r="N240" s="8"/>
      <c r="O240" s="8"/>
      <c r="P240" s="8"/>
      <c r="Q240" s="8"/>
      <c r="R240" s="8"/>
      <c r="S240" s="8">
        <v>85058</v>
      </c>
      <c r="T240" s="8">
        <v>0</v>
      </c>
      <c r="U240" s="132">
        <f t="shared" si="64"/>
        <v>0</v>
      </c>
      <c r="V240" s="133">
        <f aca="true" t="shared" si="65" ref="V240:V245">S240/$S$256</f>
        <v>0.0024355023386068097</v>
      </c>
      <c r="W240" s="133">
        <f t="shared" si="53"/>
        <v>0</v>
      </c>
    </row>
    <row r="241" spans="1:23" s="37" customFormat="1" ht="39.75" customHeight="1">
      <c r="A241" s="19" t="s">
        <v>906</v>
      </c>
      <c r="B241" s="4" t="s">
        <v>940</v>
      </c>
      <c r="C241" s="58">
        <v>900</v>
      </c>
      <c r="D241" s="58"/>
      <c r="E241" s="58"/>
      <c r="F241" s="9"/>
      <c r="G241" s="122">
        <f>G242</f>
        <v>71700</v>
      </c>
      <c r="H241" s="115"/>
      <c r="I241" s="10"/>
      <c r="J241" s="7"/>
      <c r="K241" s="7">
        <f aca="true" t="shared" si="66" ref="K241:R241">K242</f>
        <v>0</v>
      </c>
      <c r="L241" s="7">
        <f t="shared" si="66"/>
        <v>0</v>
      </c>
      <c r="M241" s="7">
        <f t="shared" si="66"/>
        <v>48720</v>
      </c>
      <c r="N241" s="7">
        <f t="shared" si="66"/>
        <v>0</v>
      </c>
      <c r="O241" s="7">
        <f t="shared" si="66"/>
        <v>0</v>
      </c>
      <c r="P241" s="151">
        <f t="shared" si="66"/>
        <v>15000</v>
      </c>
      <c r="Q241" s="151">
        <f t="shared" si="66"/>
        <v>103519</v>
      </c>
      <c r="R241" s="151">
        <f t="shared" si="66"/>
        <v>0</v>
      </c>
      <c r="S241" s="7">
        <f>S242</f>
        <v>60000</v>
      </c>
      <c r="T241" s="7">
        <f>T242</f>
        <v>0</v>
      </c>
      <c r="U241" s="132">
        <f t="shared" si="64"/>
        <v>0</v>
      </c>
      <c r="V241" s="133">
        <f t="shared" si="65"/>
        <v>0.001718005835035018</v>
      </c>
      <c r="W241" s="133">
        <f t="shared" si="53"/>
        <v>0</v>
      </c>
    </row>
    <row r="242" spans="1:24" ht="34.5" customHeight="1">
      <c r="A242" s="19"/>
      <c r="B242" s="249" t="s">
        <v>939</v>
      </c>
      <c r="C242" s="22"/>
      <c r="D242" s="22">
        <v>90011</v>
      </c>
      <c r="E242" s="22">
        <v>2440</v>
      </c>
      <c r="F242" s="107"/>
      <c r="G242" s="131">
        <v>71700</v>
      </c>
      <c r="H242" s="132"/>
      <c r="I242" s="133"/>
      <c r="J242" s="20"/>
      <c r="K242" s="20">
        <v>0</v>
      </c>
      <c r="L242" s="20">
        <v>0</v>
      </c>
      <c r="M242" s="8">
        <v>48720</v>
      </c>
      <c r="N242" s="8">
        <v>0</v>
      </c>
      <c r="O242" s="8">
        <v>0</v>
      </c>
      <c r="P242" s="8">
        <v>15000</v>
      </c>
      <c r="Q242" s="8">
        <v>103519</v>
      </c>
      <c r="R242" s="8">
        <v>0</v>
      </c>
      <c r="S242" s="8">
        <v>60000</v>
      </c>
      <c r="T242" s="8">
        <v>0</v>
      </c>
      <c r="U242" s="132">
        <f t="shared" si="64"/>
        <v>0</v>
      </c>
      <c r="V242" s="133">
        <f t="shared" si="65"/>
        <v>0.001718005835035018</v>
      </c>
      <c r="W242" s="133">
        <f t="shared" si="53"/>
        <v>0</v>
      </c>
      <c r="X242" s="101"/>
    </row>
    <row r="243" spans="1:24" s="37" customFormat="1" ht="39.75" customHeight="1">
      <c r="A243" s="19" t="s">
        <v>908</v>
      </c>
      <c r="B243" s="4" t="s">
        <v>941</v>
      </c>
      <c r="C243" s="58">
        <v>900</v>
      </c>
      <c r="D243" s="58"/>
      <c r="E243" s="58"/>
      <c r="F243" s="9"/>
      <c r="G243" s="122"/>
      <c r="H243" s="115"/>
      <c r="I243" s="10"/>
      <c r="J243" s="7"/>
      <c r="K243" s="7"/>
      <c r="L243" s="7"/>
      <c r="M243" s="7"/>
      <c r="N243" s="7"/>
      <c r="O243" s="7"/>
      <c r="P243" s="7"/>
      <c r="Q243" s="7"/>
      <c r="R243" s="7"/>
      <c r="S243" s="7">
        <f>S244+S245</f>
        <v>7000</v>
      </c>
      <c r="T243" s="7">
        <f>T244+T245</f>
        <v>40000</v>
      </c>
      <c r="U243" s="132">
        <f t="shared" si="64"/>
        <v>571.4285714285714</v>
      </c>
      <c r="V243" s="133">
        <f t="shared" si="65"/>
        <v>0.00020043401408741877</v>
      </c>
      <c r="W243" s="133">
        <f t="shared" si="53"/>
        <v>0.0012196983478637013</v>
      </c>
      <c r="X243" s="145"/>
    </row>
    <row r="244" spans="1:24" ht="34.5" customHeight="1">
      <c r="A244" s="19"/>
      <c r="B244" s="249" t="s">
        <v>274</v>
      </c>
      <c r="C244" s="22"/>
      <c r="D244" s="22">
        <v>90011</v>
      </c>
      <c r="E244" s="22">
        <v>2440</v>
      </c>
      <c r="F244" s="107"/>
      <c r="G244" s="131"/>
      <c r="H244" s="132"/>
      <c r="I244" s="133"/>
      <c r="J244" s="20"/>
      <c r="K244" s="20"/>
      <c r="L244" s="20"/>
      <c r="M244" s="8"/>
      <c r="N244" s="8"/>
      <c r="O244" s="8"/>
      <c r="P244" s="8"/>
      <c r="Q244" s="8"/>
      <c r="R244" s="8"/>
      <c r="S244" s="8">
        <v>7000</v>
      </c>
      <c r="T244" s="8">
        <v>0</v>
      </c>
      <c r="U244" s="132">
        <f t="shared" si="64"/>
        <v>0</v>
      </c>
      <c r="V244" s="133">
        <f t="shared" si="65"/>
        <v>0.00020043401408741877</v>
      </c>
      <c r="W244" s="133">
        <f t="shared" si="53"/>
        <v>0</v>
      </c>
      <c r="X244" s="41"/>
    </row>
    <row r="245" spans="1:24" ht="45" customHeight="1">
      <c r="A245" s="19"/>
      <c r="B245" s="249" t="s">
        <v>938</v>
      </c>
      <c r="C245" s="22"/>
      <c r="D245" s="22"/>
      <c r="E245" s="22">
        <v>6260</v>
      </c>
      <c r="F245" s="107"/>
      <c r="G245" s="131"/>
      <c r="H245" s="132"/>
      <c r="I245" s="133"/>
      <c r="J245" s="20"/>
      <c r="K245" s="20"/>
      <c r="L245" s="20"/>
      <c r="M245" s="8"/>
      <c r="N245" s="8"/>
      <c r="O245" s="8"/>
      <c r="P245" s="8"/>
      <c r="Q245" s="8"/>
      <c r="R245" s="8"/>
      <c r="S245" s="8">
        <v>0</v>
      </c>
      <c r="T245" s="8">
        <v>40000</v>
      </c>
      <c r="U245" s="132">
        <v>0</v>
      </c>
      <c r="V245" s="133">
        <f t="shared" si="65"/>
        <v>0</v>
      </c>
      <c r="W245" s="133">
        <f t="shared" si="53"/>
        <v>0.0012196983478637013</v>
      </c>
      <c r="X245" s="41"/>
    </row>
    <row r="246" spans="1:23" s="345" customFormat="1" ht="21" customHeight="1">
      <c r="A246" s="423" t="s">
        <v>369</v>
      </c>
      <c r="B246" s="476" t="s">
        <v>942</v>
      </c>
      <c r="C246" s="424">
        <v>758</v>
      </c>
      <c r="D246" s="424"/>
      <c r="E246" s="424"/>
      <c r="F246" s="425" t="e">
        <f>F247+F251+#REF!</f>
        <v>#REF!</v>
      </c>
      <c r="G246" s="426" t="e">
        <f>G247+G251+#REF!</f>
        <v>#REF!</v>
      </c>
      <c r="H246" s="427" t="e">
        <f aca="true" t="shared" si="67" ref="H246:H259">IF(F246&gt;0,G246/F246*100,"")</f>
        <v>#REF!</v>
      </c>
      <c r="I246" s="428" t="e">
        <f>F246/F256</f>
        <v>#REF!</v>
      </c>
      <c r="J246" s="429"/>
      <c r="K246" s="430" t="e">
        <f>K247+K251+#REF!</f>
        <v>#REF!</v>
      </c>
      <c r="L246" s="430" t="e">
        <f>L247+L251+#REF!</f>
        <v>#REF!</v>
      </c>
      <c r="M246" s="431" t="e">
        <f>M247+M251+#REF!</f>
        <v>#REF!</v>
      </c>
      <c r="N246" s="431" t="e">
        <f>N247+N251+#REF!</f>
        <v>#REF!</v>
      </c>
      <c r="O246" s="431" t="e">
        <f>O247+O251+#REF!</f>
        <v>#REF!</v>
      </c>
      <c r="P246" s="431" t="e">
        <f>P247+P251+#REF!</f>
        <v>#REF!</v>
      </c>
      <c r="Q246" s="431" t="e">
        <f>Q247+Q251+#REF!</f>
        <v>#REF!</v>
      </c>
      <c r="R246" s="431" t="e">
        <f>R247+R251+#REF!</f>
        <v>#REF!</v>
      </c>
      <c r="S246" s="431">
        <f>S247+S249+S251+S254</f>
        <v>16283554</v>
      </c>
      <c r="T246" s="431">
        <f>T247+T249+T251+T254</f>
        <v>16269381</v>
      </c>
      <c r="U246" s="493">
        <f>T246/S246*100</f>
        <v>99.91296126140521</v>
      </c>
      <c r="V246" s="498">
        <f>S246/$S$256</f>
        <v>0.4662540131184635</v>
      </c>
      <c r="W246" s="498">
        <f>T246/$T$256</f>
        <v>0.4960934281616273</v>
      </c>
    </row>
    <row r="247" spans="1:23" s="37" customFormat="1" ht="26.25" customHeight="1">
      <c r="A247" s="19" t="s">
        <v>903</v>
      </c>
      <c r="B247" s="469" t="s">
        <v>943</v>
      </c>
      <c r="C247" s="143"/>
      <c r="D247" s="143">
        <v>75801</v>
      </c>
      <c r="F247" s="304">
        <v>14303852</v>
      </c>
      <c r="G247" s="118">
        <v>15307838</v>
      </c>
      <c r="H247" s="157">
        <f t="shared" si="67"/>
        <v>107.0189904090171</v>
      </c>
      <c r="I247" s="305" t="e">
        <f>F247/F256</f>
        <v>#REF!</v>
      </c>
      <c r="J247" s="50"/>
      <c r="K247" s="50">
        <v>0</v>
      </c>
      <c r="L247" s="50">
        <v>0</v>
      </c>
      <c r="M247" s="421">
        <v>9810952</v>
      </c>
      <c r="N247" s="421">
        <v>77228</v>
      </c>
      <c r="O247" s="421">
        <v>0</v>
      </c>
      <c r="P247" s="50">
        <v>11299642</v>
      </c>
      <c r="Q247" s="50">
        <v>0</v>
      </c>
      <c r="R247" s="50">
        <v>0</v>
      </c>
      <c r="S247" s="283">
        <f>S248</f>
        <v>13076550</v>
      </c>
      <c r="T247" s="50">
        <f>T248</f>
        <v>13197586</v>
      </c>
      <c r="U247" s="468">
        <f>T247/S247*100</f>
        <v>100.92559581846893</v>
      </c>
      <c r="V247" s="435">
        <f>S247/$S$256</f>
        <v>0.3744264867021194</v>
      </c>
      <c r="W247" s="435">
        <f>T247/$T$256</f>
        <v>0.4024268459997279</v>
      </c>
    </row>
    <row r="248" spans="1:23" ht="24.75" customHeight="1">
      <c r="A248" s="24"/>
      <c r="B248" s="477" t="s">
        <v>944</v>
      </c>
      <c r="C248" s="147"/>
      <c r="D248" s="147"/>
      <c r="E248" s="114" t="s">
        <v>315</v>
      </c>
      <c r="F248" s="67"/>
      <c r="G248" s="313"/>
      <c r="H248" s="311"/>
      <c r="I248" s="292"/>
      <c r="J248" s="40"/>
      <c r="K248" s="40"/>
      <c r="L248" s="40"/>
      <c r="M248" s="314"/>
      <c r="N248" s="314"/>
      <c r="O248" s="314"/>
      <c r="P248" s="40"/>
      <c r="Q248" s="40"/>
      <c r="R248" s="40"/>
      <c r="S248" s="83">
        <v>13076550</v>
      </c>
      <c r="T248" s="83">
        <v>13197586</v>
      </c>
      <c r="U248" s="468">
        <f>T248/S248*100</f>
        <v>100.92559581846893</v>
      </c>
      <c r="V248" s="435">
        <f>S248/$S$256</f>
        <v>0.3744264867021194</v>
      </c>
      <c r="W248" s="435">
        <f>T248/$T$256</f>
        <v>0.4024268459997279</v>
      </c>
    </row>
    <row r="249" spans="1:23" s="37" customFormat="1" ht="30.75" customHeight="1">
      <c r="A249" s="19" t="s">
        <v>904</v>
      </c>
      <c r="B249" s="371" t="s">
        <v>945</v>
      </c>
      <c r="C249" s="58"/>
      <c r="D249" s="58">
        <v>75802</v>
      </c>
      <c r="E249" s="27"/>
      <c r="F249" s="9"/>
      <c r="G249" s="122"/>
      <c r="H249" s="115"/>
      <c r="I249" s="10"/>
      <c r="J249" s="7"/>
      <c r="K249" s="7"/>
      <c r="L249" s="7"/>
      <c r="M249" s="151"/>
      <c r="N249" s="151"/>
      <c r="O249" s="151"/>
      <c r="P249" s="7"/>
      <c r="Q249" s="7"/>
      <c r="R249" s="7"/>
      <c r="S249" s="272">
        <f>S250</f>
        <v>80000</v>
      </c>
      <c r="T249" s="272">
        <v>0</v>
      </c>
      <c r="U249" s="132">
        <f>T249/S249*100</f>
        <v>0</v>
      </c>
      <c r="V249" s="133">
        <f>S249/$S$256</f>
        <v>0.0022906744467133576</v>
      </c>
      <c r="W249" s="133">
        <f>T249/$T$256</f>
        <v>0</v>
      </c>
    </row>
    <row r="250" spans="1:23" s="37" customFormat="1" ht="36" customHeight="1">
      <c r="A250" s="19"/>
      <c r="B250" s="474" t="s">
        <v>946</v>
      </c>
      <c r="C250" s="58"/>
      <c r="D250" s="58"/>
      <c r="E250" s="31" t="s">
        <v>947</v>
      </c>
      <c r="F250" s="9"/>
      <c r="G250" s="122"/>
      <c r="H250" s="115"/>
      <c r="I250" s="10"/>
      <c r="J250" s="7"/>
      <c r="K250" s="7"/>
      <c r="L250" s="7"/>
      <c r="M250" s="151"/>
      <c r="N250" s="151"/>
      <c r="O250" s="151"/>
      <c r="P250" s="7"/>
      <c r="Q250" s="7"/>
      <c r="R250" s="7"/>
      <c r="S250" s="272">
        <v>80000</v>
      </c>
      <c r="T250" s="272">
        <v>0</v>
      </c>
      <c r="U250" s="132">
        <f aca="true" t="shared" si="68" ref="U250:U255">T250/S250*100</f>
        <v>0</v>
      </c>
      <c r="V250" s="133">
        <f aca="true" t="shared" si="69" ref="V250:V255">S250/$S$256</f>
        <v>0.0022906744467133576</v>
      </c>
      <c r="W250" s="133">
        <f aca="true" t="shared" si="70" ref="W250:W255">T250/$T$256</f>
        <v>0</v>
      </c>
    </row>
    <row r="251" spans="1:23" s="37" customFormat="1" ht="38.25" customHeight="1">
      <c r="A251" s="19">
        <v>3</v>
      </c>
      <c r="B251" s="371" t="s">
        <v>241</v>
      </c>
      <c r="C251" s="58"/>
      <c r="D251" s="58">
        <v>75803</v>
      </c>
      <c r="E251" s="27"/>
      <c r="F251" s="9">
        <v>857613</v>
      </c>
      <c r="G251" s="122">
        <v>912417</v>
      </c>
      <c r="H251" s="115">
        <f t="shared" si="67"/>
        <v>106.39029492323459</v>
      </c>
      <c r="I251" s="10" t="e">
        <f>F251/F256</f>
        <v>#REF!</v>
      </c>
      <c r="J251" s="7"/>
      <c r="K251" s="7">
        <v>0</v>
      </c>
      <c r="L251" s="7">
        <v>0</v>
      </c>
      <c r="M251" s="151">
        <v>531382</v>
      </c>
      <c r="N251" s="151">
        <v>0</v>
      </c>
      <c r="O251" s="151">
        <v>0</v>
      </c>
      <c r="P251" s="7">
        <v>543491</v>
      </c>
      <c r="Q251" s="7">
        <v>0</v>
      </c>
      <c r="R251" s="7">
        <v>0</v>
      </c>
      <c r="S251" s="272">
        <f>S252+S253</f>
        <v>1461789</v>
      </c>
      <c r="T251" s="272">
        <f>T252+T253</f>
        <v>1619480</v>
      </c>
      <c r="U251" s="132">
        <f t="shared" si="68"/>
        <v>110.78753499992133</v>
      </c>
      <c r="V251" s="133">
        <f t="shared" si="69"/>
        <v>0.0418560338598334</v>
      </c>
      <c r="W251" s="133">
        <f t="shared" si="70"/>
        <v>0.04938192700995768</v>
      </c>
    </row>
    <row r="252" spans="1:23" ht="23.25" customHeight="1">
      <c r="A252" s="589"/>
      <c r="B252" s="478" t="s">
        <v>948</v>
      </c>
      <c r="C252" s="127"/>
      <c r="D252" s="127"/>
      <c r="E252" s="128" t="s">
        <v>315</v>
      </c>
      <c r="F252" s="105"/>
      <c r="G252" s="129"/>
      <c r="H252" s="302"/>
      <c r="I252" s="130"/>
      <c r="J252" s="78"/>
      <c r="K252" s="78"/>
      <c r="L252" s="78"/>
      <c r="M252" s="315"/>
      <c r="N252" s="315"/>
      <c r="O252" s="315"/>
      <c r="P252" s="78"/>
      <c r="Q252" s="78"/>
      <c r="R252" s="78"/>
      <c r="S252" s="87">
        <v>1153628</v>
      </c>
      <c r="T252" s="87">
        <v>1314250</v>
      </c>
      <c r="U252" s="132">
        <f t="shared" si="68"/>
        <v>113.92320574743331</v>
      </c>
      <c r="V252" s="133">
        <f t="shared" si="69"/>
        <v>0.03303232725766297</v>
      </c>
      <c r="W252" s="133">
        <f t="shared" si="70"/>
        <v>0.04007471384199674</v>
      </c>
    </row>
    <row r="253" spans="1:23" ht="26.25" customHeight="1">
      <c r="A253" s="581"/>
      <c r="B253" s="478" t="s">
        <v>839</v>
      </c>
      <c r="C253" s="127"/>
      <c r="D253" s="127"/>
      <c r="E253" s="128"/>
      <c r="F253" s="105"/>
      <c r="G253" s="129"/>
      <c r="H253" s="302"/>
      <c r="I253" s="130"/>
      <c r="J253" s="78"/>
      <c r="K253" s="78"/>
      <c r="L253" s="78"/>
      <c r="M253" s="315"/>
      <c r="N253" s="315"/>
      <c r="O253" s="315"/>
      <c r="P253" s="78"/>
      <c r="Q253" s="78"/>
      <c r="R253" s="78"/>
      <c r="S253" s="87">
        <v>308161</v>
      </c>
      <c r="T253" s="87">
        <v>305230</v>
      </c>
      <c r="U253" s="132">
        <f t="shared" si="68"/>
        <v>99.04887380297961</v>
      </c>
      <c r="V253" s="133">
        <f t="shared" si="69"/>
        <v>0.008823706602170437</v>
      </c>
      <c r="W253" s="133">
        <f t="shared" si="70"/>
        <v>0.00930721316796094</v>
      </c>
    </row>
    <row r="254" spans="1:23" s="37" customFormat="1" ht="39" customHeight="1">
      <c r="A254" s="601">
        <v>4</v>
      </c>
      <c r="B254" s="4" t="s">
        <v>457</v>
      </c>
      <c r="C254" s="58"/>
      <c r="D254" s="58">
        <v>75832</v>
      </c>
      <c r="E254" s="27"/>
      <c r="F254" s="9"/>
      <c r="G254" s="122"/>
      <c r="H254" s="115"/>
      <c r="I254" s="10"/>
      <c r="J254" s="7"/>
      <c r="K254" s="7"/>
      <c r="L254" s="7"/>
      <c r="M254" s="151"/>
      <c r="N254" s="151"/>
      <c r="O254" s="151"/>
      <c r="P254" s="7"/>
      <c r="Q254" s="7"/>
      <c r="R254" s="7"/>
      <c r="S254" s="7">
        <f>S255</f>
        <v>1665215</v>
      </c>
      <c r="T254" s="7">
        <f>T255</f>
        <v>1452315</v>
      </c>
      <c r="U254" s="132">
        <f t="shared" si="68"/>
        <v>87.21486414667176</v>
      </c>
      <c r="V254" s="133">
        <f t="shared" si="69"/>
        <v>0.047680818109797296</v>
      </c>
      <c r="W254" s="133">
        <f t="shared" si="70"/>
        <v>0.044284655151941785</v>
      </c>
    </row>
    <row r="255" spans="1:23" s="37" customFormat="1" ht="27" customHeight="1" thickBot="1">
      <c r="A255" s="588"/>
      <c r="B255" s="29" t="s">
        <v>949</v>
      </c>
      <c r="C255" s="58"/>
      <c r="D255" s="58"/>
      <c r="E255" s="31" t="s">
        <v>315</v>
      </c>
      <c r="F255" s="9"/>
      <c r="G255" s="122"/>
      <c r="H255" s="115"/>
      <c r="I255" s="10"/>
      <c r="J255" s="7"/>
      <c r="K255" s="7"/>
      <c r="L255" s="7"/>
      <c r="M255" s="151"/>
      <c r="N255" s="151"/>
      <c r="O255" s="151"/>
      <c r="P255" s="7"/>
      <c r="Q255" s="7"/>
      <c r="R255" s="7"/>
      <c r="S255" s="7">
        <v>1665215</v>
      </c>
      <c r="T255" s="7">
        <v>1452315</v>
      </c>
      <c r="U255" s="132">
        <f t="shared" si="68"/>
        <v>87.21486414667176</v>
      </c>
      <c r="V255" s="133">
        <f t="shared" si="69"/>
        <v>0.047680818109797296</v>
      </c>
      <c r="W255" s="133">
        <f t="shared" si="70"/>
        <v>0.044284655151941785</v>
      </c>
    </row>
    <row r="256" spans="1:23" ht="18.75" customHeight="1">
      <c r="A256" s="479"/>
      <c r="B256" s="529" t="s">
        <v>242</v>
      </c>
      <c r="C256" s="530"/>
      <c r="D256" s="530"/>
      <c r="E256" s="530"/>
      <c r="F256" s="531" t="e">
        <f>F17+#REF!+F232+#REF!+#REF!+#REF!+F212+F246</f>
        <v>#REF!</v>
      </c>
      <c r="G256" s="532" t="e">
        <f>G17+G163+#REF!+#REF!+G232+#REF!+#REF!+#REF!+G212+G246+#REF!+G236</f>
        <v>#REF!</v>
      </c>
      <c r="H256" s="466" t="e">
        <f t="shared" si="67"/>
        <v>#REF!</v>
      </c>
      <c r="I256" s="467" t="e">
        <f>F256/F256</f>
        <v>#REF!</v>
      </c>
      <c r="J256" s="533"/>
      <c r="K256" s="533" t="e">
        <f>K17+K163+#REF!+#REF!+K232+K212+K246+#REF!+K236</f>
        <v>#REF!</v>
      </c>
      <c r="L256" s="533" t="e">
        <f>L17+L163+#REF!+#REF!+L232+L212++L246+#REF!+L236</f>
        <v>#REF!</v>
      </c>
      <c r="M256" s="534" t="e">
        <f>M17+M163+#REF!+#REF!+M232+M212+#REF!+M236+M246+#REF!+#REF!</f>
        <v>#REF!</v>
      </c>
      <c r="N256" s="534" t="e">
        <f>N17+N163+#REF!+#REF!+#REF!+#REF!+N232+N212+#REF!+N236+N246</f>
        <v>#REF!</v>
      </c>
      <c r="O256" s="534" t="e">
        <f>O17+O163+#REF!+#REF!+#REF!+#REF!+O232+O212+#REF!+O236+O246</f>
        <v>#REF!</v>
      </c>
      <c r="P256" s="534" t="e">
        <f>P17+P163+#REF!+#REF!+P232+P212+#REF!+P236+P246+#REF!+#REF!+P181</f>
        <v>#REF!</v>
      </c>
      <c r="Q256" s="534" t="e">
        <f>Q17+Q163+#REF!+#REF!+Q232+Q212+#REF!+Q236+Q246+#REF!+#REF!+Q181</f>
        <v>#REF!</v>
      </c>
      <c r="R256" s="534" t="e">
        <f>R17+R163+#REF!+#REF!+R232+R212+#REF!+R236+R246+#REF!+#REF!+R181</f>
        <v>#REF!</v>
      </c>
      <c r="S256" s="535">
        <f>S17+S163+S181+S212+S232+S236+S246</f>
        <v>34924212</v>
      </c>
      <c r="T256" s="535">
        <f>T17+T163+T181+T232+T212+T236+T246</f>
        <v>32794994</v>
      </c>
      <c r="U256" s="363">
        <f aca="true" t="shared" si="71" ref="U256:U263">T256/S256*100</f>
        <v>93.90331841989735</v>
      </c>
      <c r="V256" s="364">
        <f aca="true" t="shared" si="72" ref="V256:V263">S256/$S$256</f>
        <v>1</v>
      </c>
      <c r="W256" s="365">
        <f>T256/$T$256</f>
        <v>1</v>
      </c>
    </row>
    <row r="257" spans="1:23" ht="18" customHeight="1">
      <c r="A257" s="24"/>
      <c r="B257" s="614" t="s">
        <v>243</v>
      </c>
      <c r="C257" s="614"/>
      <c r="D257" s="614"/>
      <c r="E257" s="615"/>
      <c r="F257" s="5" t="e">
        <f>#REF!+F232+#REF!+#REF!+#REF!+F212</f>
        <v>#REF!</v>
      </c>
      <c r="G257" s="123" t="e">
        <f>#REF!+#REF!+G232+G212+#REF!+G236</f>
        <v>#REF!</v>
      </c>
      <c r="H257" s="121" t="e">
        <f t="shared" si="67"/>
        <v>#REF!</v>
      </c>
      <c r="I257" s="6" t="e">
        <f>F257/F256</f>
        <v>#REF!</v>
      </c>
      <c r="J257" s="8"/>
      <c r="K257" s="8" t="e">
        <f>#REF!+#REF!+K232+K212+#REF!+K236</f>
        <v>#REF!</v>
      </c>
      <c r="L257" s="8" t="e">
        <f>#REF!+#REF!+L232+L212+#REF!+L236</f>
        <v>#REF!</v>
      </c>
      <c r="M257" s="152" t="e">
        <f>#REF!+#REF!+M232+M212+#REF!+M236+#REF!+#REF!+M163</f>
        <v>#REF!</v>
      </c>
      <c r="N257" s="152" t="e">
        <f>#REF!+#REF!+N232+N212+#REF!+N236+#REF!+#REF!+N163</f>
        <v>#REF!</v>
      </c>
      <c r="O257" s="152" t="e">
        <f>#REF!+#REF!+O232+O212+#REF!+O236+#REF!+#REF!+O163</f>
        <v>#REF!</v>
      </c>
      <c r="P257" s="152" t="e">
        <f>#REF!+P232+P212+P163+#REF!+P181+P236</f>
        <v>#REF!</v>
      </c>
      <c r="Q257" s="152" t="e">
        <f>#REF!+Q232+Q212+Q163+#REF!+Q181+Q236</f>
        <v>#REF!</v>
      </c>
      <c r="R257" s="152" t="e">
        <f>#REF!+R232+R212+R163+#REF!+R181+R236</f>
        <v>#REF!</v>
      </c>
      <c r="S257" s="152">
        <f>S258+S259+S261+S263</f>
        <v>13979895</v>
      </c>
      <c r="T257" s="152">
        <f>T258+T259+T261+T263</f>
        <v>10994776</v>
      </c>
      <c r="U257" s="132">
        <f t="shared" si="71"/>
        <v>78.64705707732426</v>
      </c>
      <c r="V257" s="6">
        <f t="shared" si="72"/>
        <v>0.4002923530529479</v>
      </c>
      <c r="W257" s="316">
        <f aca="true" t="shared" si="73" ref="W257:W263">T257/$T$256</f>
        <v>0.33525775305828687</v>
      </c>
    </row>
    <row r="258" spans="1:23" ht="18.75" customHeight="1">
      <c r="A258" s="24"/>
      <c r="B258" s="612" t="s">
        <v>316</v>
      </c>
      <c r="C258" s="612"/>
      <c r="D258" s="612"/>
      <c r="E258" s="613"/>
      <c r="F258" s="5" t="e">
        <f>F232+#REF!</f>
        <v>#REF!</v>
      </c>
      <c r="G258" s="123" t="e">
        <f>G232+#REF!</f>
        <v>#REF!</v>
      </c>
      <c r="H258" s="121" t="e">
        <f t="shared" si="67"/>
        <v>#REF!</v>
      </c>
      <c r="I258" s="6" t="e">
        <f>F258/F256</f>
        <v>#REF!</v>
      </c>
      <c r="J258" s="8"/>
      <c r="K258" s="8" t="e">
        <f aca="true" t="shared" si="74" ref="K258:T258">K232</f>
        <v>#REF!</v>
      </c>
      <c r="L258" s="8" t="e">
        <f t="shared" si="74"/>
        <v>#REF!</v>
      </c>
      <c r="M258" s="152" t="e">
        <f t="shared" si="74"/>
        <v>#REF!</v>
      </c>
      <c r="N258" s="152" t="e">
        <f t="shared" si="74"/>
        <v>#REF!</v>
      </c>
      <c r="O258" s="152" t="e">
        <f t="shared" si="74"/>
        <v>#REF!</v>
      </c>
      <c r="P258" s="152" t="e">
        <f t="shared" si="74"/>
        <v>#REF!</v>
      </c>
      <c r="Q258" s="152" t="e">
        <f t="shared" si="74"/>
        <v>#REF!</v>
      </c>
      <c r="R258" s="152" t="e">
        <f t="shared" si="74"/>
        <v>#REF!</v>
      </c>
      <c r="S258" s="152">
        <f t="shared" si="74"/>
        <v>693250</v>
      </c>
      <c r="T258" s="152">
        <f t="shared" si="74"/>
        <v>490000</v>
      </c>
      <c r="U258" s="132">
        <f t="shared" si="71"/>
        <v>70.6815723043635</v>
      </c>
      <c r="V258" s="6">
        <f t="shared" si="72"/>
        <v>0.019850125752300437</v>
      </c>
      <c r="W258" s="316">
        <f t="shared" si="73"/>
        <v>0.014941304761330342</v>
      </c>
    </row>
    <row r="259" spans="1:23" ht="18.75" customHeight="1">
      <c r="A259" s="24"/>
      <c r="B259" s="612" t="s">
        <v>390</v>
      </c>
      <c r="C259" s="612"/>
      <c r="D259" s="612"/>
      <c r="E259" s="613"/>
      <c r="F259" s="5" t="e">
        <f>F212</f>
        <v>#REF!</v>
      </c>
      <c r="G259" s="123" t="e">
        <f>G212</f>
        <v>#REF!</v>
      </c>
      <c r="H259" s="121" t="e">
        <f t="shared" si="67"/>
        <v>#REF!</v>
      </c>
      <c r="I259" s="6" t="e">
        <f>F259/F256</f>
        <v>#REF!</v>
      </c>
      <c r="J259" s="8"/>
      <c r="K259" s="8" t="e">
        <f aca="true" t="shared" si="75" ref="K259:P259">K212</f>
        <v>#REF!</v>
      </c>
      <c r="L259" s="8" t="e">
        <f t="shared" si="75"/>
        <v>#REF!</v>
      </c>
      <c r="M259" s="152" t="e">
        <f t="shared" si="75"/>
        <v>#REF!</v>
      </c>
      <c r="N259" s="152" t="e">
        <f t="shared" si="75"/>
        <v>#REF!</v>
      </c>
      <c r="O259" s="152" t="e">
        <f t="shared" si="75"/>
        <v>#REF!</v>
      </c>
      <c r="P259" s="152" t="e">
        <f t="shared" si="75"/>
        <v>#REF!</v>
      </c>
      <c r="Q259" s="152" t="e">
        <f>Q212</f>
        <v>#REF!</v>
      </c>
      <c r="R259" s="152" t="e">
        <f>R212</f>
        <v>#REF!</v>
      </c>
      <c r="S259" s="152">
        <f>S212</f>
        <v>2920579</v>
      </c>
      <c r="T259" s="152">
        <f>T212</f>
        <v>3305295</v>
      </c>
      <c r="U259" s="132">
        <f t="shared" si="71"/>
        <v>113.17259351655954</v>
      </c>
      <c r="V259" s="6">
        <f t="shared" si="72"/>
        <v>0.08362619606134564</v>
      </c>
      <c r="W259" s="316">
        <f t="shared" si="73"/>
        <v>0.10078657126755382</v>
      </c>
    </row>
    <row r="260" spans="1:23" ht="16.5" customHeight="1" hidden="1">
      <c r="A260" s="24"/>
      <c r="B260" s="54" t="s">
        <v>245</v>
      </c>
      <c r="C260" s="8"/>
      <c r="D260" s="8"/>
      <c r="E260" s="8"/>
      <c r="F260" s="5"/>
      <c r="G260" s="123" t="e">
        <f>#REF!+G236</f>
        <v>#REF!</v>
      </c>
      <c r="H260" s="121"/>
      <c r="I260" s="6"/>
      <c r="J260" s="8"/>
      <c r="K260" s="8" t="e">
        <f>#REF!+K236</f>
        <v>#REF!</v>
      </c>
      <c r="L260" s="8" t="e">
        <f>#REF!+L236</f>
        <v>#REF!</v>
      </c>
      <c r="M260" s="152" t="e">
        <f>#REF!+M236</f>
        <v>#REF!</v>
      </c>
      <c r="N260" s="152" t="e">
        <f>#REF!+N236</f>
        <v>#REF!</v>
      </c>
      <c r="O260" s="152" t="e">
        <f>#REF!+O236</f>
        <v>#REF!</v>
      </c>
      <c r="P260" s="152" t="e">
        <f>#REF!+P236</f>
        <v>#REF!</v>
      </c>
      <c r="Q260" s="152" t="e">
        <f>#REF!+Q236</f>
        <v>#REF!</v>
      </c>
      <c r="R260" s="152" t="e">
        <f>#REF!+R236</f>
        <v>#REF!</v>
      </c>
      <c r="S260" s="274" t="e">
        <f>P260+Q260-R260</f>
        <v>#REF!</v>
      </c>
      <c r="T260" s="8"/>
      <c r="U260" s="132" t="e">
        <f t="shared" si="71"/>
        <v>#REF!</v>
      </c>
      <c r="V260" s="6" t="e">
        <f t="shared" si="72"/>
        <v>#REF!</v>
      </c>
      <c r="W260" s="316">
        <f t="shared" si="73"/>
        <v>0</v>
      </c>
    </row>
    <row r="261" spans="1:23" ht="17.25" customHeight="1">
      <c r="A261" s="24"/>
      <c r="B261" s="604" t="s">
        <v>331</v>
      </c>
      <c r="C261" s="604"/>
      <c r="D261" s="604"/>
      <c r="E261" s="605"/>
      <c r="F261" s="5" t="e">
        <f>#REF!+#REF!+#REF!</f>
        <v>#REF!</v>
      </c>
      <c r="G261" s="123" t="e">
        <f>#REF!+#REF!</f>
        <v>#REF!</v>
      </c>
      <c r="H261" s="121" t="e">
        <f>IF(F261&gt;0,G261/F261*100,"")</f>
        <v>#REF!</v>
      </c>
      <c r="I261" s="6" t="e">
        <f>F261/F256</f>
        <v>#REF!</v>
      </c>
      <c r="J261" s="8"/>
      <c r="K261" s="8" t="e">
        <f>#REF!+#REF!</f>
        <v>#REF!</v>
      </c>
      <c r="L261" s="8" t="e">
        <f>#REF!+#REF!</f>
        <v>#REF!</v>
      </c>
      <c r="M261" s="152" t="e">
        <f>#REF!+#REF!+#REF!+#REF!</f>
        <v>#REF!</v>
      </c>
      <c r="N261" s="152" t="e">
        <f>#REF!+#REF!+#REF!+#REF!</f>
        <v>#REF!</v>
      </c>
      <c r="O261" s="152" t="e">
        <f>#REF!+#REF!+#REF!+#REF!</f>
        <v>#REF!</v>
      </c>
      <c r="P261" s="152" t="e">
        <f>#REF!+#REF!+P181</f>
        <v>#REF!</v>
      </c>
      <c r="Q261" s="152" t="e">
        <f>#REF!+#REF!+Q181</f>
        <v>#REF!</v>
      </c>
      <c r="R261" s="152" t="e">
        <f>#REF!+#REF!+R181</f>
        <v>#REF!</v>
      </c>
      <c r="S261" s="152">
        <f>S181</f>
        <v>1731169</v>
      </c>
      <c r="T261" s="152">
        <f>T181</f>
        <v>1338062</v>
      </c>
      <c r="U261" s="132">
        <f t="shared" si="71"/>
        <v>77.29239606300715</v>
      </c>
      <c r="V261" s="6">
        <f t="shared" si="72"/>
        <v>0.049569307390528956</v>
      </c>
      <c r="W261" s="316">
        <f t="shared" si="73"/>
        <v>0.04080080026848</v>
      </c>
    </row>
    <row r="262" spans="1:23" ht="21" customHeight="1">
      <c r="A262" s="24"/>
      <c r="B262" s="604" t="s">
        <v>837</v>
      </c>
      <c r="C262" s="604"/>
      <c r="D262" s="604"/>
      <c r="E262" s="605"/>
      <c r="F262" s="105"/>
      <c r="G262" s="129"/>
      <c r="H262" s="302"/>
      <c r="I262" s="130"/>
      <c r="J262" s="78"/>
      <c r="K262" s="78"/>
      <c r="L262" s="78"/>
      <c r="M262" s="315"/>
      <c r="N262" s="315"/>
      <c r="O262" s="315"/>
      <c r="P262" s="422"/>
      <c r="Q262" s="422"/>
      <c r="R262" s="422"/>
      <c r="S262" s="422">
        <f>S236</f>
        <v>222058</v>
      </c>
      <c r="T262" s="422">
        <f>T236</f>
        <v>40000</v>
      </c>
      <c r="U262" s="132">
        <f t="shared" si="71"/>
        <v>18.013311837447873</v>
      </c>
      <c r="V262" s="6">
        <f t="shared" si="72"/>
        <v>0.006358282328603434</v>
      </c>
      <c r="W262" s="316">
        <f t="shared" si="73"/>
        <v>0.0012196983478637013</v>
      </c>
    </row>
    <row r="263" spans="1:23" ht="18.75" customHeight="1" thickBot="1">
      <c r="A263" s="24"/>
      <c r="B263" s="602" t="s">
        <v>332</v>
      </c>
      <c r="C263" s="602"/>
      <c r="D263" s="602"/>
      <c r="E263" s="603"/>
      <c r="F263" s="92"/>
      <c r="G263" s="92"/>
      <c r="H263" s="92"/>
      <c r="I263" s="92"/>
      <c r="J263" s="92"/>
      <c r="K263" s="92"/>
      <c r="L263" s="92"/>
      <c r="M263" s="317" t="e">
        <f>M163</f>
        <v>#REF!</v>
      </c>
      <c r="N263" s="317" t="e">
        <f>N163</f>
        <v>#REF!</v>
      </c>
      <c r="O263" s="317" t="e">
        <f>O163</f>
        <v>#REF!</v>
      </c>
      <c r="P263" s="318" t="e">
        <f>P163+P236</f>
        <v>#REF!</v>
      </c>
      <c r="Q263" s="318" t="e">
        <f>Q163+Q236</f>
        <v>#REF!</v>
      </c>
      <c r="R263" s="318" t="e">
        <f>R163+R236</f>
        <v>#REF!</v>
      </c>
      <c r="S263" s="318">
        <f>S163+S236</f>
        <v>8634897</v>
      </c>
      <c r="T263" s="318">
        <f>T163+T236</f>
        <v>5861419</v>
      </c>
      <c r="U263" s="499">
        <f t="shared" si="71"/>
        <v>67.88058965845221</v>
      </c>
      <c r="V263" s="319">
        <f t="shared" si="72"/>
        <v>0.2472467238487729</v>
      </c>
      <c r="W263" s="320">
        <f t="shared" si="73"/>
        <v>0.17872907676092273</v>
      </c>
    </row>
    <row r="264" ht="6.75" customHeight="1"/>
    <row r="265" ht="14.25" customHeight="1"/>
    <row r="266" ht="14.25" customHeight="1">
      <c r="B266" t="s">
        <v>338</v>
      </c>
    </row>
    <row r="267" ht="14.25" customHeight="1"/>
    <row r="268" ht="12.75">
      <c r="P268" t="s">
        <v>404</v>
      </c>
    </row>
  </sheetData>
  <mergeCells count="31">
    <mergeCell ref="A254:A255"/>
    <mergeCell ref="A252:A253"/>
    <mergeCell ref="U2:W4"/>
    <mergeCell ref="T12:T15"/>
    <mergeCell ref="U12:U15"/>
    <mergeCell ref="V12:W14"/>
    <mergeCell ref="A6:W11"/>
    <mergeCell ref="E2:S4"/>
    <mergeCell ref="Q12:Q15"/>
    <mergeCell ref="R12:R15"/>
    <mergeCell ref="S12:S15"/>
    <mergeCell ref="P12:P15"/>
    <mergeCell ref="K13:K15"/>
    <mergeCell ref="L13:L15"/>
    <mergeCell ref="A12:A15"/>
    <mergeCell ref="N12:O12"/>
    <mergeCell ref="C12:E14"/>
    <mergeCell ref="M12:M15"/>
    <mergeCell ref="O13:O15"/>
    <mergeCell ref="N13:N15"/>
    <mergeCell ref="B12:B14"/>
    <mergeCell ref="B263:E263"/>
    <mergeCell ref="B261:E261"/>
    <mergeCell ref="I14:I15"/>
    <mergeCell ref="F13:F15"/>
    <mergeCell ref="H13:H15"/>
    <mergeCell ref="G13:G15"/>
    <mergeCell ref="B262:E262"/>
    <mergeCell ref="B259:E259"/>
    <mergeCell ref="B257:E257"/>
    <mergeCell ref="B258:E258"/>
  </mergeCells>
  <printOptions/>
  <pageMargins left="0.2755905511811024" right="0.2362204724409449" top="0.6299212598425197" bottom="0.984251968503937" header="0.4330708661417323" footer="0.5118110236220472"/>
  <pageSetup horizontalDpi="300" verticalDpi="300" orientation="portrait" paperSize="9" r:id="rId1"/>
  <headerFooter alignWithMargins="0">
    <oddFooter>&amp;CStrona &amp;P</oddFooter>
  </headerFooter>
  <rowBreaks count="1" manualBreakCount="1">
    <brk id="135" min="2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8" sqref="C8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5:13" ht="12.75" customHeight="1">
      <c r="E1" s="813" t="s">
        <v>35</v>
      </c>
      <c r="F1" s="813"/>
      <c r="G1" s="813"/>
      <c r="H1" s="813"/>
      <c r="I1" s="813"/>
      <c r="J1" s="813"/>
      <c r="K1" s="813"/>
      <c r="L1" s="813"/>
      <c r="M1" s="813"/>
    </row>
    <row r="2" ht="11.25" customHeight="1"/>
    <row r="3" ht="0.75" customHeight="1"/>
    <row r="4" spans="1:13" ht="12" customHeight="1" thickBot="1">
      <c r="A4" s="814" t="s">
        <v>36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</row>
    <row r="5" spans="1:13" ht="13.5" thickBot="1">
      <c r="A5" s="815" t="s">
        <v>891</v>
      </c>
      <c r="B5" s="815" t="s">
        <v>963</v>
      </c>
      <c r="C5" s="816" t="s">
        <v>37</v>
      </c>
      <c r="D5" s="817"/>
      <c r="E5" s="817"/>
      <c r="F5" s="817"/>
      <c r="G5" s="817"/>
      <c r="H5" s="817"/>
      <c r="I5" s="817"/>
      <c r="J5" s="817"/>
      <c r="K5" s="817"/>
      <c r="L5" s="817"/>
      <c r="M5" s="818"/>
    </row>
    <row r="6" spans="1:13" ht="46.5" customHeight="1" thickBot="1">
      <c r="A6" s="819"/>
      <c r="B6" s="819"/>
      <c r="C6" s="820"/>
      <c r="D6" s="821">
        <v>2006</v>
      </c>
      <c r="E6" s="821">
        <v>2007</v>
      </c>
      <c r="F6" s="821">
        <v>2008</v>
      </c>
      <c r="G6" s="821">
        <v>2009</v>
      </c>
      <c r="H6" s="821">
        <v>2010</v>
      </c>
      <c r="I6" s="821">
        <v>2011</v>
      </c>
      <c r="J6" s="821">
        <v>2012</v>
      </c>
      <c r="K6" s="822">
        <v>2013</v>
      </c>
      <c r="L6" s="822">
        <v>2014</v>
      </c>
      <c r="M6" s="821">
        <v>2015</v>
      </c>
    </row>
    <row r="7" spans="1:13" ht="13.5" thickBot="1">
      <c r="A7" s="197">
        <v>1</v>
      </c>
      <c r="B7" s="197">
        <v>2</v>
      </c>
      <c r="C7" s="96">
        <v>3</v>
      </c>
      <c r="D7" s="94">
        <v>5</v>
      </c>
      <c r="E7" s="208">
        <v>6</v>
      </c>
      <c r="F7" s="94">
        <v>7</v>
      </c>
      <c r="G7" s="94">
        <v>8</v>
      </c>
      <c r="H7" s="94">
        <v>9</v>
      </c>
      <c r="I7" s="94">
        <v>10</v>
      </c>
      <c r="J7" s="94">
        <v>11</v>
      </c>
      <c r="K7" s="95">
        <v>12</v>
      </c>
      <c r="L7" s="95">
        <v>13</v>
      </c>
      <c r="M7" s="96">
        <v>14</v>
      </c>
    </row>
    <row r="8" spans="1:13" ht="22.5">
      <c r="A8" s="823" t="s">
        <v>903</v>
      </c>
      <c r="B8" s="824" t="s">
        <v>38</v>
      </c>
      <c r="C8" s="825">
        <v>8483700</v>
      </c>
      <c r="D8" s="826">
        <v>7377132</v>
      </c>
      <c r="E8" s="825">
        <v>6783996</v>
      </c>
      <c r="F8" s="825">
        <v>5351007</v>
      </c>
      <c r="G8" s="825">
        <v>3952071</v>
      </c>
      <c r="H8" s="825">
        <v>2743135</v>
      </c>
      <c r="I8" s="825">
        <v>1686567</v>
      </c>
      <c r="J8" s="826">
        <v>630000</v>
      </c>
      <c r="K8" s="825">
        <v>0</v>
      </c>
      <c r="L8" s="825">
        <v>0</v>
      </c>
      <c r="M8" s="825">
        <v>0</v>
      </c>
    </row>
    <row r="9" spans="1:13" ht="12.75">
      <c r="A9" s="827" t="s">
        <v>904</v>
      </c>
      <c r="B9" s="266" t="s">
        <v>39</v>
      </c>
      <c r="C9" s="828">
        <v>137600</v>
      </c>
      <c r="D9" s="829">
        <v>75600</v>
      </c>
      <c r="E9" s="828">
        <v>36000</v>
      </c>
      <c r="F9" s="828">
        <v>0</v>
      </c>
      <c r="G9" s="828">
        <v>0</v>
      </c>
      <c r="H9" s="828">
        <v>0</v>
      </c>
      <c r="I9" s="828">
        <v>0</v>
      </c>
      <c r="J9" s="829">
        <v>0</v>
      </c>
      <c r="K9" s="828">
        <v>0</v>
      </c>
      <c r="L9" s="828">
        <v>0</v>
      </c>
      <c r="M9" s="828">
        <v>0</v>
      </c>
    </row>
    <row r="10" spans="1:13" ht="12.75">
      <c r="A10" s="830" t="s">
        <v>906</v>
      </c>
      <c r="B10" s="266" t="s">
        <v>40</v>
      </c>
      <c r="C10" s="831">
        <v>521954</v>
      </c>
      <c r="D10" s="832">
        <v>968166</v>
      </c>
      <c r="E10" s="831">
        <v>106328</v>
      </c>
      <c r="F10" s="831">
        <v>0</v>
      </c>
      <c r="G10" s="831">
        <v>0</v>
      </c>
      <c r="H10" s="831">
        <v>0</v>
      </c>
      <c r="I10" s="831">
        <v>0</v>
      </c>
      <c r="J10" s="832">
        <v>0</v>
      </c>
      <c r="K10" s="831">
        <v>0</v>
      </c>
      <c r="L10" s="831">
        <v>0</v>
      </c>
      <c r="M10" s="831">
        <v>0</v>
      </c>
    </row>
    <row r="11" spans="1:13" ht="22.5">
      <c r="A11" s="827" t="s">
        <v>908</v>
      </c>
      <c r="B11" s="833" t="s">
        <v>41</v>
      </c>
      <c r="C11" s="828">
        <v>0</v>
      </c>
      <c r="D11" s="829"/>
      <c r="E11" s="828"/>
      <c r="F11" s="828"/>
      <c r="G11" s="828"/>
      <c r="H11" s="828"/>
      <c r="I11" s="828"/>
      <c r="J11" s="829"/>
      <c r="K11" s="828"/>
      <c r="L11" s="828"/>
      <c r="M11" s="828">
        <v>0</v>
      </c>
    </row>
    <row r="12" spans="1:13" ht="22.5">
      <c r="A12" s="827">
        <v>5</v>
      </c>
      <c r="B12" s="833" t="s">
        <v>42</v>
      </c>
      <c r="C12" s="828">
        <v>356000</v>
      </c>
      <c r="D12" s="829">
        <v>739000</v>
      </c>
      <c r="E12" s="828">
        <v>1073439</v>
      </c>
      <c r="F12" s="828">
        <v>1073439</v>
      </c>
      <c r="G12" s="828">
        <v>1058439</v>
      </c>
      <c r="H12" s="828">
        <v>882035</v>
      </c>
      <c r="I12" s="828">
        <v>705631</v>
      </c>
      <c r="J12" s="829">
        <v>529227</v>
      </c>
      <c r="K12" s="828">
        <v>352823</v>
      </c>
      <c r="L12" s="828">
        <v>176419</v>
      </c>
      <c r="M12" s="828">
        <v>0</v>
      </c>
    </row>
    <row r="13" spans="1:13" ht="22.5">
      <c r="A13" s="834">
        <v>6</v>
      </c>
      <c r="B13" s="833" t="s">
        <v>370</v>
      </c>
      <c r="C13" s="263">
        <v>1132</v>
      </c>
      <c r="D13" s="835">
        <v>180892</v>
      </c>
      <c r="E13" s="263">
        <v>196326</v>
      </c>
      <c r="F13" s="263">
        <v>279877</v>
      </c>
      <c r="G13" s="263">
        <v>191985</v>
      </c>
      <c r="H13" s="263">
        <v>214251</v>
      </c>
      <c r="I13" s="263">
        <v>280968</v>
      </c>
      <c r="J13" s="835">
        <v>1099598</v>
      </c>
      <c r="K13" s="263">
        <v>105398</v>
      </c>
      <c r="L13" s="263">
        <v>102446</v>
      </c>
      <c r="M13" s="263">
        <v>36982</v>
      </c>
    </row>
    <row r="14" spans="1:13" ht="22.5">
      <c r="A14" s="836">
        <v>7</v>
      </c>
      <c r="B14" s="833" t="s">
        <v>43</v>
      </c>
      <c r="C14" s="263">
        <f>C15+C16+C17+C18</f>
        <v>0</v>
      </c>
      <c r="D14" s="835">
        <v>0</v>
      </c>
      <c r="E14" s="263">
        <v>0</v>
      </c>
      <c r="F14" s="263">
        <v>0</v>
      </c>
      <c r="G14" s="263">
        <v>0</v>
      </c>
      <c r="H14" s="263">
        <v>0</v>
      </c>
      <c r="I14" s="263">
        <v>0</v>
      </c>
      <c r="J14" s="835">
        <v>0</v>
      </c>
      <c r="K14" s="263">
        <v>0</v>
      </c>
      <c r="L14" s="263">
        <v>0</v>
      </c>
      <c r="M14" s="263">
        <v>0</v>
      </c>
    </row>
    <row r="15" spans="1:13" ht="12.75">
      <c r="A15" s="834"/>
      <c r="B15" s="266" t="s">
        <v>964</v>
      </c>
      <c r="C15" s="263">
        <v>0</v>
      </c>
      <c r="D15" s="835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835">
        <v>0</v>
      </c>
      <c r="K15" s="263">
        <v>0</v>
      </c>
      <c r="L15" s="263">
        <v>0</v>
      </c>
      <c r="M15" s="263">
        <v>0</v>
      </c>
    </row>
    <row r="16" spans="1:13" ht="12.75">
      <c r="A16" s="834"/>
      <c r="B16" s="266" t="s">
        <v>965</v>
      </c>
      <c r="C16" s="263">
        <v>0</v>
      </c>
      <c r="D16" s="835">
        <v>0</v>
      </c>
      <c r="E16" s="263">
        <v>0</v>
      </c>
      <c r="F16" s="263">
        <v>0</v>
      </c>
      <c r="G16" s="263">
        <v>0</v>
      </c>
      <c r="H16" s="263">
        <v>0</v>
      </c>
      <c r="I16" s="263">
        <v>0</v>
      </c>
      <c r="J16" s="835">
        <v>0</v>
      </c>
      <c r="K16" s="263">
        <v>0</v>
      </c>
      <c r="L16" s="263">
        <v>0</v>
      </c>
      <c r="M16" s="263">
        <v>0</v>
      </c>
    </row>
    <row r="17" spans="1:13" ht="12.75">
      <c r="A17" s="834"/>
      <c r="B17" s="266" t="s">
        <v>966</v>
      </c>
      <c r="C17" s="263">
        <v>0</v>
      </c>
      <c r="D17" s="835">
        <v>0</v>
      </c>
      <c r="E17" s="263">
        <v>0</v>
      </c>
      <c r="F17" s="263">
        <v>0</v>
      </c>
      <c r="G17" s="263">
        <v>0</v>
      </c>
      <c r="H17" s="263">
        <v>0</v>
      </c>
      <c r="I17" s="263">
        <v>0</v>
      </c>
      <c r="J17" s="835">
        <v>0</v>
      </c>
      <c r="K17" s="263">
        <v>0</v>
      </c>
      <c r="L17" s="263">
        <v>0</v>
      </c>
      <c r="M17" s="263">
        <v>0</v>
      </c>
    </row>
    <row r="18" spans="1:13" ht="12.75">
      <c r="A18" s="834"/>
      <c r="B18" s="266" t="s">
        <v>967</v>
      </c>
      <c r="C18" s="263">
        <v>0</v>
      </c>
      <c r="D18" s="835">
        <v>0</v>
      </c>
      <c r="E18" s="263">
        <v>0</v>
      </c>
      <c r="F18" s="263">
        <v>0</v>
      </c>
      <c r="G18" s="263">
        <v>0</v>
      </c>
      <c r="H18" s="263">
        <v>0</v>
      </c>
      <c r="I18" s="263">
        <v>0</v>
      </c>
      <c r="J18" s="835">
        <v>0</v>
      </c>
      <c r="K18" s="263">
        <v>0</v>
      </c>
      <c r="L18" s="263">
        <v>0</v>
      </c>
      <c r="M18" s="263">
        <v>0</v>
      </c>
    </row>
    <row r="19" spans="1:13" ht="12.75">
      <c r="A19" s="827">
        <v>8</v>
      </c>
      <c r="B19" s="266" t="s">
        <v>969</v>
      </c>
      <c r="C19" s="828">
        <f aca="true" t="shared" si="0" ref="C19:M19">C8+C9+C10+C11+C12+C13+C14</f>
        <v>9500386</v>
      </c>
      <c r="D19" s="829">
        <f t="shared" si="0"/>
        <v>9340790</v>
      </c>
      <c r="E19" s="828">
        <f t="shared" si="0"/>
        <v>8196089</v>
      </c>
      <c r="F19" s="828">
        <f t="shared" si="0"/>
        <v>6704323</v>
      </c>
      <c r="G19" s="828">
        <f t="shared" si="0"/>
        <v>5202495</v>
      </c>
      <c r="H19" s="828">
        <f t="shared" si="0"/>
        <v>3839421</v>
      </c>
      <c r="I19" s="828">
        <f t="shared" si="0"/>
        <v>2673166</v>
      </c>
      <c r="J19" s="828">
        <f t="shared" si="0"/>
        <v>2258825</v>
      </c>
      <c r="K19" s="828">
        <f t="shared" si="0"/>
        <v>458221</v>
      </c>
      <c r="L19" s="828">
        <f t="shared" si="0"/>
        <v>278865</v>
      </c>
      <c r="M19" s="828">
        <f t="shared" si="0"/>
        <v>36982</v>
      </c>
    </row>
    <row r="20" spans="1:13" ht="13.5" thickBot="1">
      <c r="A20" s="830">
        <v>9</v>
      </c>
      <c r="B20" s="264" t="s">
        <v>971</v>
      </c>
      <c r="C20" s="837">
        <v>34924212</v>
      </c>
      <c r="D20" s="838">
        <v>32794994</v>
      </c>
      <c r="E20" s="839">
        <v>31631000</v>
      </c>
      <c r="F20" s="839">
        <v>30145000</v>
      </c>
      <c r="G20" s="839">
        <v>29600000</v>
      </c>
      <c r="H20" s="839">
        <v>29200000</v>
      </c>
      <c r="I20" s="839">
        <v>29400000</v>
      </c>
      <c r="J20" s="840">
        <v>29500000</v>
      </c>
      <c r="K20" s="839">
        <v>29600000</v>
      </c>
      <c r="L20" s="839">
        <v>29700000</v>
      </c>
      <c r="M20" s="839">
        <v>30000000</v>
      </c>
    </row>
    <row r="21" spans="1:13" ht="23.25" thickBot="1">
      <c r="A21" s="841">
        <v>10</v>
      </c>
      <c r="B21" s="842" t="s">
        <v>1013</v>
      </c>
      <c r="C21" s="843">
        <f>C19/C20</f>
        <v>0.2720286430514166</v>
      </c>
      <c r="D21" s="844">
        <f>D19/D20</f>
        <v>0.2848236532685446</v>
      </c>
      <c r="E21" s="843">
        <f>E19/E20</f>
        <v>0.25911570927254907</v>
      </c>
      <c r="F21" s="843">
        <f>F19/F20</f>
        <v>0.2224024879747885</v>
      </c>
      <c r="G21" s="843">
        <v>0.1808</v>
      </c>
      <c r="H21" s="843">
        <f aca="true" t="shared" si="1" ref="H21:M21">H19/H20</f>
        <v>0.1314870205479452</v>
      </c>
      <c r="I21" s="843">
        <f t="shared" si="1"/>
        <v>0.09092401360544218</v>
      </c>
      <c r="J21" s="845">
        <f t="shared" si="1"/>
        <v>0.07657033898305085</v>
      </c>
      <c r="K21" s="845">
        <f t="shared" si="1"/>
        <v>0.015480439189189189</v>
      </c>
      <c r="L21" s="845">
        <f t="shared" si="1"/>
        <v>0.009389393939393939</v>
      </c>
      <c r="M21" s="845">
        <f t="shared" si="1"/>
        <v>0.0012327333333333333</v>
      </c>
    </row>
    <row r="22" spans="1:13" ht="24.75" thickBot="1">
      <c r="A22" s="846">
        <v>9</v>
      </c>
      <c r="B22" s="847" t="s">
        <v>370</v>
      </c>
      <c r="C22" s="848"/>
      <c r="D22" s="849"/>
      <c r="E22" s="850"/>
      <c r="F22" s="850"/>
      <c r="G22" s="850"/>
      <c r="H22" s="850"/>
      <c r="I22" s="850"/>
      <c r="J22" s="851"/>
      <c r="K22" s="851"/>
      <c r="L22" s="851"/>
      <c r="M22" s="851"/>
    </row>
    <row r="23" spans="1:13" ht="3" customHeight="1">
      <c r="A23" s="852"/>
      <c r="B23" s="853"/>
      <c r="C23" s="854"/>
      <c r="D23" s="854"/>
      <c r="E23" s="854"/>
      <c r="F23" s="854"/>
      <c r="G23" s="854"/>
      <c r="H23" s="853"/>
      <c r="I23" s="855"/>
      <c r="J23" s="855"/>
      <c r="K23" s="855"/>
      <c r="L23" s="855"/>
      <c r="M23" s="853"/>
    </row>
    <row r="24" spans="1:13" ht="22.5">
      <c r="A24" s="855"/>
      <c r="B24" s="856" t="s">
        <v>44</v>
      </c>
      <c r="C24" s="857">
        <v>1086568</v>
      </c>
      <c r="D24" s="857">
        <v>1106568</v>
      </c>
      <c r="E24" s="858">
        <v>1156568</v>
      </c>
      <c r="F24" s="858">
        <v>1174293</v>
      </c>
      <c r="G24" s="858">
        <v>1246568</v>
      </c>
      <c r="H24" s="857">
        <v>1056568</v>
      </c>
      <c r="I24" s="857">
        <v>1056568</v>
      </c>
      <c r="J24" s="857">
        <v>1056567</v>
      </c>
      <c r="K24" s="859">
        <v>630000</v>
      </c>
      <c r="L24" s="859">
        <v>0</v>
      </c>
      <c r="M24" s="857">
        <v>0</v>
      </c>
    </row>
    <row r="25" spans="1:13" ht="12.75">
      <c r="A25" s="855"/>
      <c r="B25" s="252" t="s">
        <v>45</v>
      </c>
      <c r="C25" s="860">
        <v>60000</v>
      </c>
      <c r="D25" s="860">
        <v>62000</v>
      </c>
      <c r="E25" s="860">
        <v>36000</v>
      </c>
      <c r="F25" s="860">
        <v>36000</v>
      </c>
      <c r="G25" s="861">
        <v>0</v>
      </c>
      <c r="H25" s="861">
        <v>0</v>
      </c>
      <c r="I25" s="860">
        <v>0</v>
      </c>
      <c r="J25" s="857">
        <v>0</v>
      </c>
      <c r="K25" s="859">
        <v>0</v>
      </c>
      <c r="L25" s="859">
        <v>0</v>
      </c>
      <c r="M25" s="857">
        <v>0</v>
      </c>
    </row>
    <row r="26" spans="1:13" ht="22.5">
      <c r="A26" s="855"/>
      <c r="B26" s="862" t="s">
        <v>46</v>
      </c>
      <c r="C26" s="860">
        <v>0</v>
      </c>
      <c r="D26" s="860">
        <v>252368</v>
      </c>
      <c r="E26" s="860">
        <v>252368</v>
      </c>
      <c r="F26" s="860">
        <v>258696</v>
      </c>
      <c r="G26" s="860">
        <v>152368</v>
      </c>
      <c r="H26" s="860">
        <v>152368</v>
      </c>
      <c r="I26" s="860">
        <v>0</v>
      </c>
      <c r="J26" s="860">
        <v>0</v>
      </c>
      <c r="K26" s="859">
        <v>0</v>
      </c>
      <c r="L26" s="859">
        <v>0</v>
      </c>
      <c r="M26" s="857">
        <v>0</v>
      </c>
    </row>
    <row r="27" spans="1:13" ht="22.5">
      <c r="A27" s="855"/>
      <c r="B27" s="862" t="s">
        <v>51</v>
      </c>
      <c r="C27" s="861">
        <v>1954878</v>
      </c>
      <c r="D27" s="860">
        <v>1988005</v>
      </c>
      <c r="E27" s="860">
        <v>1663255</v>
      </c>
      <c r="F27" s="860">
        <v>0</v>
      </c>
      <c r="G27" s="860">
        <v>0</v>
      </c>
      <c r="H27" s="860">
        <v>0</v>
      </c>
      <c r="I27" s="860">
        <v>0</v>
      </c>
      <c r="J27" s="860">
        <v>0</v>
      </c>
      <c r="K27" s="859">
        <v>0</v>
      </c>
      <c r="L27" s="859">
        <v>0</v>
      </c>
      <c r="M27" s="857">
        <v>0</v>
      </c>
    </row>
    <row r="28" spans="1:13" ht="22.5">
      <c r="A28" s="855"/>
      <c r="B28" s="862" t="s">
        <v>47</v>
      </c>
      <c r="C28" s="861">
        <v>0</v>
      </c>
      <c r="D28" s="860">
        <v>0</v>
      </c>
      <c r="E28" s="860">
        <v>0</v>
      </c>
      <c r="F28" s="860">
        <v>15000</v>
      </c>
      <c r="G28" s="860">
        <v>176404</v>
      </c>
      <c r="H28" s="860">
        <v>176404</v>
      </c>
      <c r="I28" s="860">
        <v>176404</v>
      </c>
      <c r="J28" s="860">
        <v>176404</v>
      </c>
      <c r="K28" s="859">
        <v>176404</v>
      </c>
      <c r="L28" s="859">
        <v>176419</v>
      </c>
      <c r="M28" s="857">
        <v>0</v>
      </c>
    </row>
    <row r="29" spans="1:13" ht="18.75" customHeight="1">
      <c r="A29" s="863" t="s">
        <v>48</v>
      </c>
      <c r="B29" s="864"/>
      <c r="C29" s="865">
        <f aca="true" t="shared" si="2" ref="C29:M29">C24+C25+C26+C27+C28</f>
        <v>3101446</v>
      </c>
      <c r="D29" s="865">
        <f t="shared" si="2"/>
        <v>3408941</v>
      </c>
      <c r="E29" s="865">
        <f t="shared" si="2"/>
        <v>3108191</v>
      </c>
      <c r="F29" s="865">
        <f t="shared" si="2"/>
        <v>1483989</v>
      </c>
      <c r="G29" s="865">
        <f t="shared" si="2"/>
        <v>1575340</v>
      </c>
      <c r="H29" s="865">
        <f t="shared" si="2"/>
        <v>1385340</v>
      </c>
      <c r="I29" s="865">
        <f t="shared" si="2"/>
        <v>1232972</v>
      </c>
      <c r="J29" s="865">
        <f t="shared" si="2"/>
        <v>1232971</v>
      </c>
      <c r="K29" s="865">
        <f t="shared" si="2"/>
        <v>806404</v>
      </c>
      <c r="L29" s="865">
        <f t="shared" si="2"/>
        <v>176419</v>
      </c>
      <c r="M29" s="865">
        <f t="shared" si="2"/>
        <v>0</v>
      </c>
    </row>
    <row r="30" spans="1:13" ht="41.25" customHeight="1">
      <c r="A30" s="855"/>
      <c r="B30" s="866" t="s">
        <v>49</v>
      </c>
      <c r="C30" s="587"/>
      <c r="D30" s="867"/>
      <c r="E30" s="867"/>
      <c r="F30" s="867"/>
      <c r="G30" s="867"/>
      <c r="H30" s="868"/>
      <c r="I30" s="868"/>
      <c r="J30" s="855"/>
      <c r="K30" s="855"/>
      <c r="L30" s="855"/>
      <c r="M30" s="855"/>
    </row>
    <row r="31" spans="1:13" ht="16.5" customHeight="1">
      <c r="A31" s="855"/>
      <c r="B31" s="855"/>
      <c r="C31" s="855"/>
      <c r="D31" s="855"/>
      <c r="E31" s="855"/>
      <c r="F31" s="855"/>
      <c r="G31" s="869" t="s">
        <v>50</v>
      </c>
      <c r="H31" s="869"/>
      <c r="I31" s="869"/>
      <c r="J31" s="869"/>
      <c r="K31" s="869"/>
      <c r="L31" s="869"/>
      <c r="M31" s="869"/>
    </row>
    <row r="32" ht="16.5" customHeight="1"/>
    <row r="33" spans="9:11" ht="12.75" hidden="1">
      <c r="I33" s="738" t="s">
        <v>195</v>
      </c>
      <c r="J33" s="738"/>
      <c r="K33" s="738"/>
    </row>
  </sheetData>
  <mergeCells count="9">
    <mergeCell ref="I33:K33"/>
    <mergeCell ref="E1:M1"/>
    <mergeCell ref="G31:M31"/>
    <mergeCell ref="A5:A6"/>
    <mergeCell ref="B5:B6"/>
    <mergeCell ref="C5:C6"/>
    <mergeCell ref="D5:M5"/>
    <mergeCell ref="A4:M4"/>
    <mergeCell ref="A29:B29"/>
  </mergeCells>
  <printOptions/>
  <pageMargins left="0.23" right="0.29" top="0.34" bottom="0.32" header="0.4" footer="0.2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V35"/>
  <sheetViews>
    <sheetView workbookViewId="0" topLeftCell="A1">
      <selection activeCell="K38" sqref="K38"/>
    </sheetView>
  </sheetViews>
  <sheetFormatPr defaultColWidth="9.00390625" defaultRowHeight="12.75"/>
  <cols>
    <col min="1" max="1" width="3.875" style="0" customWidth="1"/>
    <col min="2" max="2" width="19.00390625" style="0" customWidth="1"/>
    <col min="3" max="3" width="11.625" style="0" customWidth="1"/>
    <col min="4" max="4" width="10.75390625" style="0" customWidth="1"/>
    <col min="5" max="5" width="11.125" style="0" customWidth="1"/>
    <col min="6" max="6" width="11.25390625" style="0" customWidth="1"/>
    <col min="7" max="7" width="10.75390625" style="0" customWidth="1"/>
    <col min="8" max="8" width="10.875" style="0" customWidth="1"/>
    <col min="9" max="12" width="11.25390625" style="0" customWidth="1"/>
    <col min="13" max="13" width="10.625" style="0" customWidth="1"/>
  </cols>
  <sheetData>
    <row r="1" spans="5:13" ht="17.25" customHeight="1">
      <c r="E1" s="764"/>
      <c r="F1" s="764"/>
      <c r="G1" s="571" t="s">
        <v>163</v>
      </c>
      <c r="H1" s="571"/>
      <c r="I1" s="571"/>
      <c r="J1" s="571"/>
      <c r="K1" s="571"/>
      <c r="L1" s="571"/>
      <c r="M1" s="571"/>
    </row>
    <row r="2" spans="2:12" ht="48.75" customHeight="1">
      <c r="B2" s="765" t="s">
        <v>164</v>
      </c>
      <c r="C2" s="765"/>
      <c r="D2" s="765"/>
      <c r="E2" s="765"/>
      <c r="F2" s="765"/>
      <c r="G2" s="765"/>
      <c r="H2" s="765"/>
      <c r="I2" s="765"/>
      <c r="J2" s="765"/>
      <c r="K2" s="765"/>
      <c r="L2" s="562"/>
    </row>
    <row r="3" spans="1:126" s="16" customFormat="1" ht="30.75" customHeight="1">
      <c r="A3" s="16" t="s">
        <v>845</v>
      </c>
      <c r="B3" s="16" t="s">
        <v>261</v>
      </c>
      <c r="C3" s="563" t="s">
        <v>165</v>
      </c>
      <c r="D3" s="16">
        <v>2006</v>
      </c>
      <c r="E3" s="16">
        <v>2007</v>
      </c>
      <c r="F3" s="16">
        <v>2008</v>
      </c>
      <c r="G3" s="16">
        <v>2009</v>
      </c>
      <c r="H3" s="16">
        <v>2010</v>
      </c>
      <c r="I3" s="16">
        <v>2011</v>
      </c>
      <c r="J3" s="16">
        <v>2012</v>
      </c>
      <c r="K3" s="16">
        <v>2013</v>
      </c>
      <c r="L3" s="16">
        <v>2014</v>
      </c>
      <c r="M3" s="16">
        <v>2015</v>
      </c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</row>
    <row r="4" spans="1:13" ht="17.25" customHeight="1">
      <c r="A4" s="258" t="s">
        <v>895</v>
      </c>
      <c r="B4" s="245" t="s">
        <v>971</v>
      </c>
      <c r="C4" s="321">
        <f aca="true" t="shared" si="0" ref="C4:M4">C5+C10+C11</f>
        <v>34924212</v>
      </c>
      <c r="D4" s="321">
        <f t="shared" si="0"/>
        <v>32794994</v>
      </c>
      <c r="E4" s="321">
        <f t="shared" si="0"/>
        <v>28200000</v>
      </c>
      <c r="F4" s="321">
        <f t="shared" si="0"/>
        <v>28400000</v>
      </c>
      <c r="G4" s="321">
        <f t="shared" si="0"/>
        <v>28600000</v>
      </c>
      <c r="H4" s="321">
        <f t="shared" si="0"/>
        <v>28700000</v>
      </c>
      <c r="I4" s="321">
        <f t="shared" si="0"/>
        <v>28800000</v>
      </c>
      <c r="J4" s="321">
        <f t="shared" si="0"/>
        <v>28900000</v>
      </c>
      <c r="K4" s="321">
        <f t="shared" si="0"/>
        <v>29000000</v>
      </c>
      <c r="L4" s="321">
        <f t="shared" si="0"/>
        <v>29500000</v>
      </c>
      <c r="M4" s="321">
        <f t="shared" si="0"/>
        <v>28900000</v>
      </c>
    </row>
    <row r="5" spans="1:13" ht="18" customHeight="1">
      <c r="A5" s="258" t="s">
        <v>846</v>
      </c>
      <c r="B5" s="249" t="s">
        <v>847</v>
      </c>
      <c r="C5" s="321">
        <f aca="true" t="shared" si="1" ref="C5:M5">C6+C7+C8+C9</f>
        <v>4660763</v>
      </c>
      <c r="D5" s="321">
        <f t="shared" si="1"/>
        <v>5530837</v>
      </c>
      <c r="E5" s="321">
        <f t="shared" si="1"/>
        <v>4700000</v>
      </c>
      <c r="F5" s="321">
        <f t="shared" si="1"/>
        <v>4960000</v>
      </c>
      <c r="G5" s="321">
        <f t="shared" si="1"/>
        <v>5100000</v>
      </c>
      <c r="H5" s="321">
        <f t="shared" si="1"/>
        <v>5300000</v>
      </c>
      <c r="I5" s="321">
        <f t="shared" si="1"/>
        <v>5450000</v>
      </c>
      <c r="J5" s="321">
        <f t="shared" si="1"/>
        <v>5650000</v>
      </c>
      <c r="K5" s="321">
        <f t="shared" si="1"/>
        <v>5800000</v>
      </c>
      <c r="L5" s="321">
        <f t="shared" si="1"/>
        <v>6100000</v>
      </c>
      <c r="M5" s="321">
        <f t="shared" si="1"/>
        <v>5500000</v>
      </c>
    </row>
    <row r="6" spans="1:13" ht="15" customHeight="1">
      <c r="A6" s="250" t="s">
        <v>903</v>
      </c>
      <c r="B6" s="249" t="s">
        <v>848</v>
      </c>
      <c r="C6" s="322">
        <v>1272035</v>
      </c>
      <c r="D6" s="322">
        <v>1414462</v>
      </c>
      <c r="E6" s="322">
        <v>1250000</v>
      </c>
      <c r="F6" s="322">
        <v>1270000</v>
      </c>
      <c r="G6" s="322">
        <v>1270000</v>
      </c>
      <c r="H6" s="322">
        <v>1250000</v>
      </c>
      <c r="I6" s="322">
        <v>1250000</v>
      </c>
      <c r="J6" s="322">
        <v>1250000</v>
      </c>
      <c r="K6" s="322">
        <v>1250000</v>
      </c>
      <c r="L6" s="322">
        <v>1250000</v>
      </c>
      <c r="M6" s="322">
        <v>850000</v>
      </c>
    </row>
    <row r="7" spans="1:13" ht="24.75" customHeight="1">
      <c r="A7" s="250" t="s">
        <v>904</v>
      </c>
      <c r="B7" s="249" t="s">
        <v>166</v>
      </c>
      <c r="C7" s="322">
        <v>1691664</v>
      </c>
      <c r="D7" s="322">
        <v>2035013</v>
      </c>
      <c r="E7" s="322">
        <v>1900000</v>
      </c>
      <c r="F7" s="322">
        <v>1990000</v>
      </c>
      <c r="G7" s="322">
        <v>2100000</v>
      </c>
      <c r="H7" s="322">
        <v>2250000</v>
      </c>
      <c r="I7" s="322">
        <v>2350000</v>
      </c>
      <c r="J7" s="322">
        <v>2450000</v>
      </c>
      <c r="K7" s="322">
        <v>2600000</v>
      </c>
      <c r="L7" s="322">
        <v>2800000</v>
      </c>
      <c r="M7" s="322">
        <v>2600000</v>
      </c>
    </row>
    <row r="8" spans="1:13" ht="16.5" customHeight="1">
      <c r="A8" s="250" t="s">
        <v>906</v>
      </c>
      <c r="B8" s="249" t="s">
        <v>849</v>
      </c>
      <c r="C8" s="322">
        <v>815322</v>
      </c>
      <c r="D8" s="322">
        <v>863346</v>
      </c>
      <c r="E8" s="322">
        <v>600000</v>
      </c>
      <c r="F8" s="322">
        <v>650000</v>
      </c>
      <c r="G8" s="322">
        <v>650000</v>
      </c>
      <c r="H8" s="322">
        <v>700000</v>
      </c>
      <c r="I8" s="322">
        <v>700000</v>
      </c>
      <c r="J8" s="322">
        <v>750000</v>
      </c>
      <c r="K8" s="322">
        <v>750000</v>
      </c>
      <c r="L8" s="322">
        <v>750000</v>
      </c>
      <c r="M8" s="322">
        <v>750000</v>
      </c>
    </row>
    <row r="9" spans="1:13" ht="15.75" customHeight="1">
      <c r="A9" s="250" t="s">
        <v>908</v>
      </c>
      <c r="B9" s="249" t="s">
        <v>850</v>
      </c>
      <c r="C9" s="322">
        <v>881742</v>
      </c>
      <c r="D9" s="322">
        <v>1218016</v>
      </c>
      <c r="E9" s="322">
        <v>950000</v>
      </c>
      <c r="F9" s="322">
        <v>1050000</v>
      </c>
      <c r="G9" s="322">
        <v>1080000</v>
      </c>
      <c r="H9" s="322">
        <v>1100000</v>
      </c>
      <c r="I9" s="322">
        <v>1150000</v>
      </c>
      <c r="J9" s="322">
        <v>1200000</v>
      </c>
      <c r="K9" s="322">
        <v>1200000</v>
      </c>
      <c r="L9" s="322">
        <v>1300000</v>
      </c>
      <c r="M9" s="322">
        <v>1300000</v>
      </c>
    </row>
    <row r="10" spans="1:13" ht="17.25" customHeight="1">
      <c r="A10" s="258" t="s">
        <v>851</v>
      </c>
      <c r="B10" s="245" t="s">
        <v>852</v>
      </c>
      <c r="C10" s="321">
        <v>16283554</v>
      </c>
      <c r="D10" s="321">
        <v>16269381</v>
      </c>
      <c r="E10" s="321">
        <v>17500000</v>
      </c>
      <c r="F10" s="321">
        <v>17800000</v>
      </c>
      <c r="G10" s="321">
        <v>17900000</v>
      </c>
      <c r="H10" s="321">
        <v>18000000</v>
      </c>
      <c r="I10" s="321">
        <v>18100000</v>
      </c>
      <c r="J10" s="321">
        <v>18250000</v>
      </c>
      <c r="K10" s="321">
        <v>18400000</v>
      </c>
      <c r="L10" s="321">
        <v>18600000</v>
      </c>
      <c r="M10" s="321">
        <v>18600000</v>
      </c>
    </row>
    <row r="11" spans="1:13" ht="15.75" customHeight="1">
      <c r="A11" s="258" t="s">
        <v>853</v>
      </c>
      <c r="B11" s="245" t="s">
        <v>854</v>
      </c>
      <c r="C11" s="321">
        <v>13979895</v>
      </c>
      <c r="D11" s="321">
        <v>10994776</v>
      </c>
      <c r="E11" s="321">
        <v>6000000</v>
      </c>
      <c r="F11" s="321">
        <v>5640000</v>
      </c>
      <c r="G11" s="321">
        <v>5600000</v>
      </c>
      <c r="H11" s="321">
        <v>5400000</v>
      </c>
      <c r="I11" s="321">
        <v>5250000</v>
      </c>
      <c r="J11" s="321">
        <v>5000000</v>
      </c>
      <c r="K11" s="321">
        <v>4800000</v>
      </c>
      <c r="L11" s="321">
        <v>4800000</v>
      </c>
      <c r="M11" s="321">
        <v>4800000</v>
      </c>
    </row>
    <row r="12" spans="1:13" ht="16.5" customHeight="1">
      <c r="A12" s="258" t="s">
        <v>897</v>
      </c>
      <c r="B12" s="245" t="s">
        <v>855</v>
      </c>
      <c r="C12" s="321">
        <f aca="true" t="shared" si="2" ref="C12:M12">C13+C14</f>
        <v>34892474</v>
      </c>
      <c r="D12" s="321">
        <f t="shared" si="2"/>
        <v>32792664</v>
      </c>
      <c r="E12" s="321">
        <f t="shared" si="2"/>
        <v>27000000</v>
      </c>
      <c r="F12" s="321">
        <f t="shared" si="2"/>
        <v>27200000</v>
      </c>
      <c r="G12" s="321">
        <f t="shared" si="2"/>
        <v>27360000</v>
      </c>
      <c r="H12" s="321">
        <f t="shared" si="2"/>
        <v>27500000</v>
      </c>
      <c r="I12" s="321">
        <f t="shared" si="2"/>
        <v>27550000</v>
      </c>
      <c r="J12" s="321">
        <f t="shared" si="2"/>
        <v>27650000</v>
      </c>
      <c r="K12" s="321">
        <f t="shared" si="2"/>
        <v>28000000</v>
      </c>
      <c r="L12" s="321">
        <f t="shared" si="2"/>
        <v>28900000</v>
      </c>
      <c r="M12" s="321">
        <f t="shared" si="2"/>
        <v>28900000</v>
      </c>
    </row>
    <row r="13" spans="1:13" ht="16.5" customHeight="1">
      <c r="A13" s="250" t="s">
        <v>846</v>
      </c>
      <c r="B13" s="249" t="s">
        <v>268</v>
      </c>
      <c r="C13" s="322">
        <v>24480943</v>
      </c>
      <c r="D13" s="322">
        <v>25522914</v>
      </c>
      <c r="E13" s="322">
        <v>24500000</v>
      </c>
      <c r="F13" s="322">
        <v>24650000</v>
      </c>
      <c r="G13" s="322">
        <v>24810000</v>
      </c>
      <c r="H13" s="322">
        <v>24950000</v>
      </c>
      <c r="I13" s="322">
        <v>25050000</v>
      </c>
      <c r="J13" s="322">
        <v>25150000</v>
      </c>
      <c r="K13" s="322">
        <v>25400000</v>
      </c>
      <c r="L13" s="251">
        <v>25900000</v>
      </c>
      <c r="M13" s="251">
        <v>25900000</v>
      </c>
    </row>
    <row r="14" spans="1:13" ht="16.5" customHeight="1">
      <c r="A14" s="250" t="s">
        <v>851</v>
      </c>
      <c r="B14" s="249" t="s">
        <v>365</v>
      </c>
      <c r="C14" s="322">
        <v>10411531</v>
      </c>
      <c r="D14" s="322">
        <v>7269750</v>
      </c>
      <c r="E14" s="322">
        <v>2500000</v>
      </c>
      <c r="F14" s="322">
        <v>2550000</v>
      </c>
      <c r="G14" s="322">
        <v>2550000</v>
      </c>
      <c r="H14" s="322">
        <v>2550000</v>
      </c>
      <c r="I14" s="322">
        <v>2500000</v>
      </c>
      <c r="J14" s="322">
        <v>2500000</v>
      </c>
      <c r="K14" s="322">
        <v>2600000</v>
      </c>
      <c r="L14" s="251">
        <v>3000000</v>
      </c>
      <c r="M14" s="251">
        <v>3000000</v>
      </c>
    </row>
    <row r="15" spans="1:13" ht="24" customHeight="1">
      <c r="A15" s="258" t="s">
        <v>901</v>
      </c>
      <c r="B15" s="245" t="s">
        <v>856</v>
      </c>
      <c r="C15" s="321">
        <f aca="true" t="shared" si="3" ref="C15:M15">C16+C20</f>
        <v>1799810</v>
      </c>
      <c r="D15" s="321">
        <f t="shared" si="3"/>
        <v>2020936</v>
      </c>
      <c r="E15" s="321">
        <f t="shared" si="3"/>
        <v>1498136</v>
      </c>
      <c r="F15" s="321">
        <f t="shared" si="3"/>
        <v>1909989</v>
      </c>
      <c r="G15" s="321">
        <f t="shared" si="3"/>
        <v>1745936</v>
      </c>
      <c r="H15" s="321">
        <f t="shared" si="3"/>
        <v>1469936</v>
      </c>
      <c r="I15" s="321">
        <f t="shared" si="3"/>
        <v>1218568</v>
      </c>
      <c r="J15" s="321">
        <f t="shared" si="3"/>
        <v>1164567</v>
      </c>
      <c r="K15" s="321">
        <f t="shared" si="3"/>
        <v>706000</v>
      </c>
      <c r="L15" s="321">
        <f t="shared" si="3"/>
        <v>20000</v>
      </c>
      <c r="M15" s="321">
        <f t="shared" si="3"/>
        <v>20000</v>
      </c>
    </row>
    <row r="16" spans="1:13" ht="25.5" customHeight="1">
      <c r="A16" s="258" t="s">
        <v>846</v>
      </c>
      <c r="B16" s="245" t="s">
        <v>857</v>
      </c>
      <c r="C16" s="321">
        <f aca="true" t="shared" si="4" ref="C16:M16">C17+C19</f>
        <v>1799810</v>
      </c>
      <c r="D16" s="321">
        <f t="shared" si="4"/>
        <v>2020936</v>
      </c>
      <c r="E16" s="321">
        <f t="shared" si="4"/>
        <v>1498136</v>
      </c>
      <c r="F16" s="321">
        <f t="shared" si="4"/>
        <v>1909989</v>
      </c>
      <c r="G16" s="321">
        <f t="shared" si="4"/>
        <v>1745936</v>
      </c>
      <c r="H16" s="321">
        <f t="shared" si="4"/>
        <v>1469936</v>
      </c>
      <c r="I16" s="321">
        <f t="shared" si="4"/>
        <v>1218568</v>
      </c>
      <c r="J16" s="321">
        <f t="shared" si="4"/>
        <v>1164567</v>
      </c>
      <c r="K16" s="321">
        <f t="shared" si="4"/>
        <v>706000</v>
      </c>
      <c r="L16" s="321">
        <f t="shared" si="4"/>
        <v>20000</v>
      </c>
      <c r="M16" s="321">
        <f t="shared" si="4"/>
        <v>20000</v>
      </c>
    </row>
    <row r="17" spans="1:13" ht="17.25" customHeight="1">
      <c r="A17" s="250" t="s">
        <v>903</v>
      </c>
      <c r="B17" s="249" t="s">
        <v>858</v>
      </c>
      <c r="C17" s="322">
        <v>1146568</v>
      </c>
      <c r="D17" s="322">
        <v>1420936</v>
      </c>
      <c r="E17" s="322">
        <v>1444936</v>
      </c>
      <c r="F17" s="322">
        <v>1468989</v>
      </c>
      <c r="G17" s="322">
        <v>1398936</v>
      </c>
      <c r="H17" s="322">
        <v>1208936</v>
      </c>
      <c r="I17" s="322">
        <v>1056568</v>
      </c>
      <c r="J17" s="322">
        <v>1056567</v>
      </c>
      <c r="K17" s="322">
        <v>630000</v>
      </c>
      <c r="L17" s="251">
        <v>0</v>
      </c>
      <c r="M17" s="251">
        <v>0</v>
      </c>
    </row>
    <row r="18" spans="1:13" ht="57.75" customHeight="1">
      <c r="A18" s="250"/>
      <c r="B18" s="564" t="s">
        <v>167</v>
      </c>
      <c r="C18" s="322">
        <v>1954878</v>
      </c>
      <c r="D18" s="322">
        <v>1988005</v>
      </c>
      <c r="E18" s="322">
        <v>1663255</v>
      </c>
      <c r="F18" s="322">
        <v>15000</v>
      </c>
      <c r="G18" s="322">
        <v>176404</v>
      </c>
      <c r="H18" s="322">
        <v>176404</v>
      </c>
      <c r="I18" s="322">
        <v>176404</v>
      </c>
      <c r="J18" s="322">
        <v>176404</v>
      </c>
      <c r="K18" s="322">
        <v>176404</v>
      </c>
      <c r="L18" s="251">
        <v>176419</v>
      </c>
      <c r="M18" s="251">
        <v>0</v>
      </c>
    </row>
    <row r="19" spans="1:13" ht="16.5" customHeight="1">
      <c r="A19" s="250" t="s">
        <v>904</v>
      </c>
      <c r="B19" s="249" t="s">
        <v>859</v>
      </c>
      <c r="C19" s="322">
        <v>653242</v>
      </c>
      <c r="D19" s="322">
        <v>600000</v>
      </c>
      <c r="E19" s="322">
        <v>53200</v>
      </c>
      <c r="F19" s="322">
        <v>441000</v>
      </c>
      <c r="G19" s="322">
        <v>347000</v>
      </c>
      <c r="H19" s="322">
        <v>261000</v>
      </c>
      <c r="I19" s="322">
        <v>162000</v>
      </c>
      <c r="J19" s="322">
        <v>108000</v>
      </c>
      <c r="K19" s="322">
        <v>76000</v>
      </c>
      <c r="L19" s="251">
        <v>20000</v>
      </c>
      <c r="M19" s="251">
        <v>20000</v>
      </c>
    </row>
    <row r="20" spans="1:13" ht="49.5" customHeight="1">
      <c r="A20" s="258" t="s">
        <v>851</v>
      </c>
      <c r="B20" s="245" t="s">
        <v>168</v>
      </c>
      <c r="C20" s="321">
        <f>C21+C22+C23</f>
        <v>0</v>
      </c>
      <c r="D20" s="321">
        <v>0</v>
      </c>
      <c r="E20" s="321">
        <f aca="true" t="shared" si="5" ref="E20:M20">E21+E22+E23</f>
        <v>0</v>
      </c>
      <c r="F20" s="321">
        <f t="shared" si="5"/>
        <v>0</v>
      </c>
      <c r="G20" s="321">
        <f t="shared" si="5"/>
        <v>0</v>
      </c>
      <c r="H20" s="321">
        <f t="shared" si="5"/>
        <v>0</v>
      </c>
      <c r="I20" s="321">
        <f t="shared" si="5"/>
        <v>0</v>
      </c>
      <c r="J20" s="321">
        <f t="shared" si="5"/>
        <v>0</v>
      </c>
      <c r="K20" s="321">
        <f t="shared" si="5"/>
        <v>0</v>
      </c>
      <c r="L20" s="321">
        <f t="shared" si="5"/>
        <v>0</v>
      </c>
      <c r="M20" s="321">
        <f t="shared" si="5"/>
        <v>0</v>
      </c>
    </row>
    <row r="21" spans="1:13" ht="27.75" customHeight="1">
      <c r="A21" s="258"/>
      <c r="B21" s="249" t="s">
        <v>169</v>
      </c>
      <c r="C21" s="322">
        <v>0</v>
      </c>
      <c r="D21" s="322">
        <v>0</v>
      </c>
      <c r="E21" s="322">
        <v>0</v>
      </c>
      <c r="F21" s="322">
        <v>0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v>0</v>
      </c>
      <c r="M21" s="322">
        <v>0</v>
      </c>
    </row>
    <row r="22" spans="1:13" ht="61.5" customHeight="1">
      <c r="A22" s="258"/>
      <c r="B22" s="564" t="s">
        <v>167</v>
      </c>
      <c r="C22" s="322">
        <v>0</v>
      </c>
      <c r="D22" s="322"/>
      <c r="E22" s="322"/>
      <c r="F22" s="322"/>
      <c r="G22" s="322"/>
      <c r="H22" s="322"/>
      <c r="I22" s="322"/>
      <c r="J22" s="322"/>
      <c r="K22" s="322"/>
      <c r="L22" s="322"/>
      <c r="M22" s="322"/>
    </row>
    <row r="23" spans="1:13" ht="16.5" customHeight="1">
      <c r="A23" s="258"/>
      <c r="B23" s="249" t="s">
        <v>859</v>
      </c>
      <c r="C23" s="322">
        <v>0</v>
      </c>
      <c r="D23" s="322">
        <v>0</v>
      </c>
      <c r="E23" s="322">
        <v>0</v>
      </c>
      <c r="F23" s="322">
        <v>0</v>
      </c>
      <c r="G23" s="322">
        <v>0</v>
      </c>
      <c r="H23" s="322">
        <v>0</v>
      </c>
      <c r="I23" s="322">
        <v>0</v>
      </c>
      <c r="J23" s="322">
        <v>0</v>
      </c>
      <c r="K23" s="322">
        <v>0</v>
      </c>
      <c r="L23" s="322">
        <v>0</v>
      </c>
      <c r="M23" s="322">
        <v>0</v>
      </c>
    </row>
    <row r="24" spans="1:13" ht="21" customHeight="1" hidden="1">
      <c r="A24" s="250" t="s">
        <v>853</v>
      </c>
      <c r="B24" s="249" t="s">
        <v>860</v>
      </c>
      <c r="C24" s="322">
        <v>0</v>
      </c>
      <c r="D24" s="322">
        <v>0</v>
      </c>
      <c r="E24" s="322">
        <v>0</v>
      </c>
      <c r="F24" s="322">
        <v>0</v>
      </c>
      <c r="G24" s="322">
        <v>0</v>
      </c>
      <c r="H24" s="322">
        <v>0</v>
      </c>
      <c r="I24" s="322">
        <v>0</v>
      </c>
      <c r="J24" s="322">
        <v>0</v>
      </c>
      <c r="K24" s="322">
        <v>0</v>
      </c>
      <c r="L24" s="251">
        <v>0</v>
      </c>
      <c r="M24" s="251">
        <v>0</v>
      </c>
    </row>
    <row r="25" spans="1:13" ht="21" customHeight="1">
      <c r="A25" s="258" t="s">
        <v>853</v>
      </c>
      <c r="B25" s="245" t="s">
        <v>170</v>
      </c>
      <c r="C25" s="321">
        <v>1132</v>
      </c>
      <c r="D25" s="321">
        <v>180892</v>
      </c>
      <c r="E25" s="321">
        <v>196326</v>
      </c>
      <c r="F25" s="321">
        <v>279877</v>
      </c>
      <c r="G25" s="321">
        <v>191985</v>
      </c>
      <c r="H25" s="321">
        <v>214251</v>
      </c>
      <c r="I25" s="321">
        <v>280968</v>
      </c>
      <c r="J25" s="321">
        <v>1099598</v>
      </c>
      <c r="K25" s="321">
        <v>105398</v>
      </c>
      <c r="L25" s="247">
        <v>102446</v>
      </c>
      <c r="M25" s="247">
        <v>36982</v>
      </c>
    </row>
    <row r="26" spans="1:13" ht="18.75" customHeight="1">
      <c r="A26" s="258" t="s">
        <v>954</v>
      </c>
      <c r="B26" s="323" t="s">
        <v>861</v>
      </c>
      <c r="C26" s="321">
        <f aca="true" t="shared" si="6" ref="C26:M26">C4-C12</f>
        <v>31738</v>
      </c>
      <c r="D26" s="321">
        <f t="shared" si="6"/>
        <v>2330</v>
      </c>
      <c r="E26" s="321">
        <f t="shared" si="6"/>
        <v>1200000</v>
      </c>
      <c r="F26" s="321">
        <f t="shared" si="6"/>
        <v>1200000</v>
      </c>
      <c r="G26" s="321">
        <f t="shared" si="6"/>
        <v>1240000</v>
      </c>
      <c r="H26" s="321">
        <f t="shared" si="6"/>
        <v>1200000</v>
      </c>
      <c r="I26" s="321">
        <f t="shared" si="6"/>
        <v>1250000</v>
      </c>
      <c r="J26" s="321">
        <f t="shared" si="6"/>
        <v>1250000</v>
      </c>
      <c r="K26" s="321">
        <f t="shared" si="6"/>
        <v>1000000</v>
      </c>
      <c r="L26" s="321">
        <f t="shared" si="6"/>
        <v>600000</v>
      </c>
      <c r="M26" s="321">
        <f t="shared" si="6"/>
        <v>0</v>
      </c>
    </row>
    <row r="27" spans="1:13" s="37" customFormat="1" ht="28.5" customHeight="1">
      <c r="A27" s="258" t="s">
        <v>961</v>
      </c>
      <c r="B27" s="245" t="s">
        <v>862</v>
      </c>
      <c r="C27" s="321">
        <v>9500386</v>
      </c>
      <c r="D27" s="321">
        <v>9340790</v>
      </c>
      <c r="E27" s="321">
        <v>8196089</v>
      </c>
      <c r="F27" s="321">
        <v>6704323</v>
      </c>
      <c r="G27" s="321">
        <v>5202495</v>
      </c>
      <c r="H27" s="321">
        <v>3839421</v>
      </c>
      <c r="I27" s="321">
        <v>2673166</v>
      </c>
      <c r="J27" s="321">
        <v>2258825</v>
      </c>
      <c r="K27" s="321">
        <v>458221</v>
      </c>
      <c r="L27" s="247">
        <v>278865</v>
      </c>
      <c r="M27" s="247">
        <v>36982</v>
      </c>
    </row>
    <row r="28" spans="1:13" s="37" customFormat="1" ht="50.25" customHeight="1">
      <c r="A28" s="250" t="s">
        <v>903</v>
      </c>
      <c r="B28" s="564" t="s">
        <v>171</v>
      </c>
      <c r="C28" s="322">
        <v>356000</v>
      </c>
      <c r="D28" s="322">
        <v>739000</v>
      </c>
      <c r="E28" s="322">
        <v>1073439</v>
      </c>
      <c r="F28" s="322">
        <v>1073439</v>
      </c>
      <c r="G28" s="322">
        <v>1058439</v>
      </c>
      <c r="H28" s="322">
        <v>882035</v>
      </c>
      <c r="I28" s="322">
        <v>705631</v>
      </c>
      <c r="J28" s="322">
        <v>529227</v>
      </c>
      <c r="K28" s="322">
        <v>352823</v>
      </c>
      <c r="L28" s="251">
        <v>176419</v>
      </c>
      <c r="M28" s="251">
        <v>0</v>
      </c>
    </row>
    <row r="29" spans="1:13" s="37" customFormat="1" ht="28.5" customHeight="1">
      <c r="A29" s="258" t="s">
        <v>172</v>
      </c>
      <c r="B29" s="245" t="s">
        <v>173</v>
      </c>
      <c r="C29" s="565">
        <f aca="true" t="shared" si="7" ref="C29:M29">C27/C4</f>
        <v>0.2720286430514166</v>
      </c>
      <c r="D29" s="565">
        <f t="shared" si="7"/>
        <v>0.2848236532685446</v>
      </c>
      <c r="E29" s="565">
        <f t="shared" si="7"/>
        <v>0.2906414539007092</v>
      </c>
      <c r="F29" s="565">
        <f t="shared" si="7"/>
        <v>0.23606771126760565</v>
      </c>
      <c r="G29" s="565">
        <f t="shared" si="7"/>
        <v>0.1819054195804196</v>
      </c>
      <c r="H29" s="565">
        <f t="shared" si="7"/>
        <v>0.13377773519163763</v>
      </c>
      <c r="I29" s="565">
        <f t="shared" si="7"/>
        <v>0.09281826388888889</v>
      </c>
      <c r="J29" s="565">
        <f t="shared" si="7"/>
        <v>0.07816003460207613</v>
      </c>
      <c r="K29" s="565">
        <f t="shared" si="7"/>
        <v>0.015800724137931033</v>
      </c>
      <c r="L29" s="565">
        <f t="shared" si="7"/>
        <v>0.009453050847457628</v>
      </c>
      <c r="M29" s="565">
        <f t="shared" si="7"/>
        <v>0.0012796539792387543</v>
      </c>
    </row>
    <row r="30" spans="1:13" s="37" customFormat="1" ht="45" customHeight="1">
      <c r="A30" s="258" t="s">
        <v>174</v>
      </c>
      <c r="B30" s="245" t="s">
        <v>175</v>
      </c>
      <c r="C30" s="565">
        <f aca="true" t="shared" si="8" ref="C30:M30">C16/C4</f>
        <v>0.0515347346992396</v>
      </c>
      <c r="D30" s="565">
        <f t="shared" si="8"/>
        <v>0.06162330750845693</v>
      </c>
      <c r="E30" s="565">
        <f t="shared" si="8"/>
        <v>0.053125390070921985</v>
      </c>
      <c r="F30" s="565">
        <f t="shared" si="8"/>
        <v>0.0672531338028169</v>
      </c>
      <c r="G30" s="565">
        <f t="shared" si="8"/>
        <v>0.06104671328671329</v>
      </c>
      <c r="H30" s="565">
        <f t="shared" si="8"/>
        <v>0.051217282229965154</v>
      </c>
      <c r="I30" s="565">
        <f t="shared" si="8"/>
        <v>0.04231138888888889</v>
      </c>
      <c r="J30" s="565">
        <f t="shared" si="8"/>
        <v>0.04029643598615917</v>
      </c>
      <c r="K30" s="565">
        <f t="shared" si="8"/>
        <v>0.024344827586206895</v>
      </c>
      <c r="L30" s="565">
        <f t="shared" si="8"/>
        <v>0.0006779661016949153</v>
      </c>
      <c r="M30" s="565">
        <f t="shared" si="8"/>
        <v>0.0006920415224913495</v>
      </c>
    </row>
    <row r="31" spans="1:13" s="37" customFormat="1" ht="24.75" customHeight="1">
      <c r="A31" s="258" t="s">
        <v>176</v>
      </c>
      <c r="B31" s="245" t="s">
        <v>173</v>
      </c>
      <c r="C31" s="565">
        <f aca="true" t="shared" si="9" ref="C31:M31">C28/C4</f>
        <v>0.01019350128787444</v>
      </c>
      <c r="D31" s="565">
        <f t="shared" si="9"/>
        <v>0.022533926976781884</v>
      </c>
      <c r="E31" s="565">
        <f t="shared" si="9"/>
        <v>0.038065212765957444</v>
      </c>
      <c r="F31" s="565">
        <f t="shared" si="9"/>
        <v>0.03779714788732395</v>
      </c>
      <c r="G31" s="565">
        <f t="shared" si="9"/>
        <v>0.037008356643356645</v>
      </c>
      <c r="H31" s="565">
        <f t="shared" si="9"/>
        <v>0.030732926829268294</v>
      </c>
      <c r="I31" s="565">
        <f t="shared" si="9"/>
        <v>0.02450107638888889</v>
      </c>
      <c r="J31" s="565">
        <f t="shared" si="9"/>
        <v>0.01831235294117647</v>
      </c>
      <c r="K31" s="565">
        <f t="shared" si="9"/>
        <v>0.012166310344827586</v>
      </c>
      <c r="L31" s="565">
        <f t="shared" si="9"/>
        <v>0.0059803050847457625</v>
      </c>
      <c r="M31" s="565">
        <f t="shared" si="9"/>
        <v>0</v>
      </c>
    </row>
    <row r="32" spans="1:13" s="37" customFormat="1" ht="44.25" customHeight="1">
      <c r="A32" s="258" t="s">
        <v>177</v>
      </c>
      <c r="B32" s="245" t="s">
        <v>178</v>
      </c>
      <c r="C32" s="565">
        <f aca="true" t="shared" si="10" ref="C32:M32">C18/C4</f>
        <v>0.055974863513026434</v>
      </c>
      <c r="D32" s="565">
        <f t="shared" si="10"/>
        <v>0.060619160351119444</v>
      </c>
      <c r="E32" s="565">
        <f t="shared" si="10"/>
        <v>0.058980673758865246</v>
      </c>
      <c r="F32" s="565">
        <f t="shared" si="10"/>
        <v>0.000528169014084507</v>
      </c>
      <c r="G32" s="565">
        <f t="shared" si="10"/>
        <v>0.006167972027972028</v>
      </c>
      <c r="H32" s="565">
        <f t="shared" si="10"/>
        <v>0.006146480836236934</v>
      </c>
      <c r="I32" s="565">
        <f t="shared" si="10"/>
        <v>0.006125138888888889</v>
      </c>
      <c r="J32" s="565">
        <f t="shared" si="10"/>
        <v>0.006103944636678201</v>
      </c>
      <c r="K32" s="565">
        <f t="shared" si="10"/>
        <v>0.006082896551724138</v>
      </c>
      <c r="L32" s="565">
        <f t="shared" si="10"/>
        <v>0.0059803050847457625</v>
      </c>
      <c r="M32" s="565">
        <f t="shared" si="10"/>
        <v>0</v>
      </c>
    </row>
    <row r="33" spans="1:8" ht="30.75" customHeight="1">
      <c r="A33" s="763"/>
      <c r="B33" s="763"/>
      <c r="C33" s="763"/>
      <c r="D33" s="763"/>
      <c r="E33" s="763"/>
      <c r="F33" s="763"/>
      <c r="G33" s="763"/>
      <c r="H33" s="763"/>
    </row>
    <row r="34" spans="1:13" ht="14.25" customHeight="1">
      <c r="A34" s="763"/>
      <c r="B34" s="763"/>
      <c r="C34" s="763"/>
      <c r="D34" s="763"/>
      <c r="E34" s="763"/>
      <c r="F34" s="763"/>
      <c r="G34" s="763"/>
      <c r="H34" s="763"/>
      <c r="J34" s="738" t="s">
        <v>431</v>
      </c>
      <c r="K34" s="738"/>
      <c r="L34" s="738"/>
      <c r="M34" s="738"/>
    </row>
    <row r="35" spans="10:13" ht="28.5" customHeight="1">
      <c r="J35" s="738" t="s">
        <v>195</v>
      </c>
      <c r="K35" s="738"/>
      <c r="L35" s="738"/>
      <c r="M35" s="738"/>
    </row>
    <row r="36" ht="18" customHeight="1"/>
  </sheetData>
  <mergeCells count="7">
    <mergeCell ref="J35:M35"/>
    <mergeCell ref="A34:H34"/>
    <mergeCell ref="E1:F1"/>
    <mergeCell ref="B2:K2"/>
    <mergeCell ref="A33:H33"/>
    <mergeCell ref="G1:M1"/>
    <mergeCell ref="J34:M34"/>
  </mergeCells>
  <printOptions/>
  <pageMargins left="0.1968503937007874" right="0.1968503937007874" top="0.1968503937007874" bottom="0.1968503937007874" header="0.5118110236220472" footer="0.5118110236220472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40"/>
  <sheetViews>
    <sheetView workbookViewId="0" topLeftCell="A1">
      <selection activeCell="C10" sqref="C10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customWidth="1"/>
    <col min="6" max="6" width="14.25390625" style="0" customWidth="1"/>
    <col min="7" max="8" width="27.375" style="0" customWidth="1"/>
  </cols>
  <sheetData>
    <row r="1" ht="12.75" customHeight="1"/>
    <row r="2" spans="3:8" ht="49.5" customHeight="1">
      <c r="C2" s="711" t="s">
        <v>208</v>
      </c>
      <c r="D2" s="711"/>
      <c r="E2" s="711"/>
      <c r="F2" s="297"/>
      <c r="G2" s="297"/>
      <c r="H2" s="297"/>
    </row>
    <row r="3" spans="1:11" ht="15.75">
      <c r="A3" s="713" t="s">
        <v>890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</row>
    <row r="4" spans="1:11" ht="15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ht="13.5" thickBot="1"/>
    <row r="6" spans="1:11" ht="24.75" customHeight="1">
      <c r="A6" s="718" t="s">
        <v>891</v>
      </c>
      <c r="B6" s="716" t="s">
        <v>892</v>
      </c>
      <c r="C6" s="714" t="s">
        <v>893</v>
      </c>
      <c r="D6" s="720" t="s">
        <v>317</v>
      </c>
      <c r="E6" s="722" t="s">
        <v>994</v>
      </c>
      <c r="F6" s="724" t="s">
        <v>915</v>
      </c>
      <c r="G6" s="160"/>
      <c r="H6" s="160"/>
      <c r="I6" s="712"/>
      <c r="J6" s="712"/>
      <c r="K6" s="712"/>
    </row>
    <row r="7" spans="1:11" ht="18.75" customHeight="1" thickBot="1">
      <c r="A7" s="719"/>
      <c r="B7" s="717"/>
      <c r="C7" s="715"/>
      <c r="D7" s="721"/>
      <c r="E7" s="723"/>
      <c r="F7" s="725"/>
      <c r="G7" s="160"/>
      <c r="H7" s="160"/>
      <c r="I7" s="712"/>
      <c r="J7" s="712"/>
      <c r="K7" s="712"/>
    </row>
    <row r="8" spans="1:8" ht="13.5" customHeight="1" thickBot="1">
      <c r="A8" s="69">
        <v>1</v>
      </c>
      <c r="B8" s="70">
        <v>2</v>
      </c>
      <c r="C8" s="71">
        <v>3</v>
      </c>
      <c r="D8" s="208">
        <v>4</v>
      </c>
      <c r="E8" s="299">
        <v>4</v>
      </c>
      <c r="F8" s="301">
        <v>5</v>
      </c>
      <c r="G8" s="298"/>
      <c r="H8" s="298"/>
    </row>
    <row r="9" spans="1:8" ht="18" customHeight="1" thickBot="1">
      <c r="A9" s="15" t="s">
        <v>895</v>
      </c>
      <c r="B9" s="72" t="s">
        <v>896</v>
      </c>
      <c r="C9" s="72"/>
      <c r="D9" s="209">
        <v>25467450</v>
      </c>
      <c r="E9" s="300">
        <f>'Z 1'!S256</f>
        <v>34924212</v>
      </c>
      <c r="F9" s="310">
        <f>'Z 1'!T256</f>
        <v>32794994</v>
      </c>
      <c r="G9" s="41"/>
      <c r="H9" s="41"/>
    </row>
    <row r="10" spans="1:8" ht="18" customHeight="1" thickBot="1">
      <c r="A10" s="73" t="s">
        <v>897</v>
      </c>
      <c r="B10" s="74" t="s">
        <v>898</v>
      </c>
      <c r="C10" s="74"/>
      <c r="D10" s="210">
        <v>28296781</v>
      </c>
      <c r="E10" s="203">
        <f>'Z 2'!K662</f>
        <v>34892474</v>
      </c>
      <c r="F10" s="80">
        <f>'Z 2'!L662</f>
        <v>32792664</v>
      </c>
      <c r="G10" s="41"/>
      <c r="H10" s="41"/>
    </row>
    <row r="11" spans="1:8" ht="12.75">
      <c r="A11" s="75"/>
      <c r="B11" s="52" t="s">
        <v>899</v>
      </c>
      <c r="C11" s="40"/>
      <c r="D11" s="83">
        <f>D9-D10</f>
        <v>-2829331</v>
      </c>
      <c r="E11" s="83">
        <f>E9-E10</f>
        <v>31738</v>
      </c>
      <c r="F11" s="510">
        <f>F9-F10</f>
        <v>2330</v>
      </c>
      <c r="G11" s="41"/>
      <c r="H11" s="41"/>
    </row>
    <row r="12" spans="1:8" ht="15.75" customHeight="1" thickBot="1">
      <c r="A12" s="76"/>
      <c r="B12" s="77" t="s">
        <v>900</v>
      </c>
      <c r="C12" s="77"/>
      <c r="D12" s="87">
        <f>D13-D22</f>
        <v>2945559</v>
      </c>
      <c r="E12" s="87">
        <f>E13-E22</f>
        <v>-31738</v>
      </c>
      <c r="F12" s="511">
        <f>F13-F22</f>
        <v>-2330</v>
      </c>
      <c r="G12" s="41"/>
      <c r="H12" s="41"/>
    </row>
    <row r="13" spans="1:8" ht="15.75" customHeight="1" thickBot="1">
      <c r="A13" s="73" t="s">
        <v>901</v>
      </c>
      <c r="B13" s="79" t="s">
        <v>902</v>
      </c>
      <c r="C13" s="80"/>
      <c r="D13" s="211">
        <f>D17+D21+D14+D19</f>
        <v>3495559</v>
      </c>
      <c r="E13" s="211">
        <f>E14+E15+E16+E17+E18+E19+E20+E21</f>
        <v>3119708</v>
      </c>
      <c r="F13" s="81">
        <f>F14+F15+F16+F17+F18+F19+F20+F21</f>
        <v>3157843</v>
      </c>
      <c r="G13" s="145"/>
      <c r="H13" s="145"/>
    </row>
    <row r="14" spans="1:8" ht="12.75">
      <c r="A14" s="82" t="s">
        <v>903</v>
      </c>
      <c r="B14" s="52" t="s">
        <v>397</v>
      </c>
      <c r="C14" s="75" t="s">
        <v>114</v>
      </c>
      <c r="D14" s="83">
        <v>3067725</v>
      </c>
      <c r="E14" s="83">
        <v>877954</v>
      </c>
      <c r="F14" s="510">
        <v>1144838</v>
      </c>
      <c r="G14" s="41"/>
      <c r="H14" s="41"/>
    </row>
    <row r="15" spans="1:8" ht="16.5" customHeight="1">
      <c r="A15" s="84" t="s">
        <v>904</v>
      </c>
      <c r="B15" s="8" t="s">
        <v>905</v>
      </c>
      <c r="C15" s="3" t="s">
        <v>114</v>
      </c>
      <c r="D15" s="212">
        <v>0</v>
      </c>
      <c r="E15" s="212">
        <v>0</v>
      </c>
      <c r="F15" s="512">
        <v>0</v>
      </c>
      <c r="G15" s="41"/>
      <c r="H15" s="41"/>
    </row>
    <row r="16" spans="1:8" ht="37.5" customHeight="1">
      <c r="A16" s="84" t="s">
        <v>906</v>
      </c>
      <c r="B16" s="11" t="s">
        <v>227</v>
      </c>
      <c r="C16" s="3" t="s">
        <v>207</v>
      </c>
      <c r="D16" s="212"/>
      <c r="E16" s="212">
        <v>1954878</v>
      </c>
      <c r="F16" s="512">
        <v>1988005</v>
      </c>
      <c r="G16" s="41"/>
      <c r="H16" s="41"/>
    </row>
    <row r="17" spans="1:8" ht="16.5" customHeight="1">
      <c r="A17" s="84" t="s">
        <v>908</v>
      </c>
      <c r="B17" s="8" t="s">
        <v>907</v>
      </c>
      <c r="C17" s="3" t="s">
        <v>115</v>
      </c>
      <c r="D17" s="212">
        <v>119000</v>
      </c>
      <c r="E17" s="212">
        <v>0</v>
      </c>
      <c r="F17" s="512">
        <v>25000</v>
      </c>
      <c r="G17" s="41"/>
      <c r="H17" s="41"/>
    </row>
    <row r="18" spans="1:8" ht="18" customHeight="1">
      <c r="A18" s="84" t="s">
        <v>910</v>
      </c>
      <c r="B18" s="8" t="s">
        <v>909</v>
      </c>
      <c r="C18" s="3" t="s">
        <v>116</v>
      </c>
      <c r="D18" s="212">
        <v>0</v>
      </c>
      <c r="E18" s="212">
        <v>0</v>
      </c>
      <c r="F18" s="512">
        <v>0</v>
      </c>
      <c r="G18" s="41"/>
      <c r="H18" s="41"/>
    </row>
    <row r="19" spans="1:8" ht="18.75" customHeight="1">
      <c r="A19" s="84" t="s">
        <v>968</v>
      </c>
      <c r="B19" s="11" t="s">
        <v>950</v>
      </c>
      <c r="C19" s="3" t="s">
        <v>117</v>
      </c>
      <c r="D19" s="212">
        <v>182463</v>
      </c>
      <c r="E19" s="212">
        <v>0</v>
      </c>
      <c r="F19" s="512">
        <v>0</v>
      </c>
      <c r="G19" s="41"/>
      <c r="H19" s="41"/>
    </row>
    <row r="20" spans="1:8" ht="18.75" customHeight="1">
      <c r="A20" s="84" t="s">
        <v>970</v>
      </c>
      <c r="B20" s="11" t="s">
        <v>951</v>
      </c>
      <c r="C20" s="3" t="s">
        <v>118</v>
      </c>
      <c r="D20" s="212">
        <v>0</v>
      </c>
      <c r="E20" s="212">
        <v>0</v>
      </c>
      <c r="F20" s="512">
        <v>0</v>
      </c>
      <c r="G20" s="41"/>
      <c r="H20" s="41"/>
    </row>
    <row r="21" spans="1:8" ht="13.5" thickBot="1">
      <c r="A21" s="85" t="s">
        <v>952</v>
      </c>
      <c r="B21" s="86" t="s">
        <v>953</v>
      </c>
      <c r="C21" s="47" t="s">
        <v>115</v>
      </c>
      <c r="D21" s="87">
        <v>126371</v>
      </c>
      <c r="E21" s="87">
        <v>286876</v>
      </c>
      <c r="F21" s="511">
        <v>0</v>
      </c>
      <c r="G21" s="41"/>
      <c r="H21" s="41"/>
    </row>
    <row r="22" spans="1:8" ht="15.75" customHeight="1" thickBot="1">
      <c r="A22" s="73" t="s">
        <v>954</v>
      </c>
      <c r="B22" s="88" t="s">
        <v>955</v>
      </c>
      <c r="C22" s="70"/>
      <c r="D22" s="79">
        <f>D23+D27</f>
        <v>550000</v>
      </c>
      <c r="E22" s="211">
        <f>E23+E24+E25+E26+E27+E28+E29</f>
        <v>3151446</v>
      </c>
      <c r="F22" s="81">
        <f>F23+F24+F25+F26+F27+F28+F29</f>
        <v>3160173</v>
      </c>
      <c r="G22" s="145"/>
      <c r="H22" s="145"/>
    </row>
    <row r="23" spans="1:8" ht="15.75" customHeight="1">
      <c r="A23" s="89" t="s">
        <v>903</v>
      </c>
      <c r="B23" s="90" t="s">
        <v>956</v>
      </c>
      <c r="C23" s="91" t="s">
        <v>119</v>
      </c>
      <c r="D23" s="213">
        <v>550000</v>
      </c>
      <c r="E23" s="213">
        <v>1086568</v>
      </c>
      <c r="F23" s="513">
        <v>1106568</v>
      </c>
      <c r="G23" s="41"/>
      <c r="H23" s="41"/>
    </row>
    <row r="24" spans="1:8" ht="15.75" customHeight="1">
      <c r="A24" s="84" t="s">
        <v>904</v>
      </c>
      <c r="B24" s="8" t="s">
        <v>957</v>
      </c>
      <c r="C24" s="3" t="s">
        <v>120</v>
      </c>
      <c r="D24" s="212">
        <v>0</v>
      </c>
      <c r="E24" s="212">
        <v>50000</v>
      </c>
      <c r="F24" s="512">
        <v>0</v>
      </c>
      <c r="G24" s="41"/>
      <c r="H24" s="41"/>
    </row>
    <row r="25" spans="1:8" ht="15.75" customHeight="1">
      <c r="A25" s="84" t="s">
        <v>906</v>
      </c>
      <c r="B25" s="8" t="s">
        <v>666</v>
      </c>
      <c r="C25" s="3" t="s">
        <v>119</v>
      </c>
      <c r="D25" s="212">
        <v>0</v>
      </c>
      <c r="E25" s="212">
        <v>60000</v>
      </c>
      <c r="F25" s="512">
        <v>65600</v>
      </c>
      <c r="G25" s="41"/>
      <c r="H25" s="41"/>
    </row>
    <row r="26" spans="1:8" ht="39" customHeight="1">
      <c r="A26" s="84" t="s">
        <v>908</v>
      </c>
      <c r="B26" s="11" t="s">
        <v>228</v>
      </c>
      <c r="C26" s="3" t="s">
        <v>229</v>
      </c>
      <c r="D26" s="212"/>
      <c r="E26" s="212">
        <v>1954878</v>
      </c>
      <c r="F26" s="512">
        <v>1988005</v>
      </c>
      <c r="G26" s="41"/>
      <c r="H26" s="41"/>
    </row>
    <row r="27" spans="1:14" ht="15.75" customHeight="1">
      <c r="A27" s="84" t="s">
        <v>910</v>
      </c>
      <c r="B27" s="8" t="s">
        <v>958</v>
      </c>
      <c r="C27" s="3" t="s">
        <v>121</v>
      </c>
      <c r="D27" s="212">
        <v>0</v>
      </c>
      <c r="E27" s="212">
        <v>0</v>
      </c>
      <c r="F27" s="512">
        <v>0</v>
      </c>
      <c r="G27" s="41"/>
      <c r="H27" s="41"/>
      <c r="N27" s="41"/>
    </row>
    <row r="28" spans="1:8" ht="15.75" customHeight="1">
      <c r="A28" s="84" t="s">
        <v>968</v>
      </c>
      <c r="B28" s="8" t="s">
        <v>959</v>
      </c>
      <c r="C28" s="3" t="s">
        <v>122</v>
      </c>
      <c r="D28" s="212">
        <v>0</v>
      </c>
      <c r="E28" s="212">
        <v>0</v>
      </c>
      <c r="F28" s="512">
        <v>0</v>
      </c>
      <c r="G28" s="41"/>
      <c r="H28" s="41"/>
    </row>
    <row r="29" spans="1:8" ht="15.75" customHeight="1" thickBot="1">
      <c r="A29" s="45" t="s">
        <v>970</v>
      </c>
      <c r="B29" s="92" t="s">
        <v>960</v>
      </c>
      <c r="C29" s="93" t="s">
        <v>621</v>
      </c>
      <c r="D29" s="214"/>
      <c r="E29" s="214">
        <v>0</v>
      </c>
      <c r="F29" s="514">
        <v>0</v>
      </c>
      <c r="G29" s="41"/>
      <c r="H29" s="41"/>
    </row>
    <row r="30" spans="1:8" ht="24.75" customHeight="1">
      <c r="A30" s="366" t="s">
        <v>961</v>
      </c>
      <c r="B30" s="329" t="s">
        <v>622</v>
      </c>
      <c r="C30" s="367"/>
      <c r="D30" s="368"/>
      <c r="E30" s="368">
        <f>E22</f>
        <v>3151446</v>
      </c>
      <c r="F30" s="515">
        <f>F22</f>
        <v>3160173</v>
      </c>
      <c r="G30" s="41"/>
      <c r="H30" s="41"/>
    </row>
    <row r="31" spans="1:8" ht="24" customHeight="1">
      <c r="A31" s="85" t="s">
        <v>462</v>
      </c>
      <c r="B31" s="86" t="s">
        <v>468</v>
      </c>
      <c r="C31" s="47"/>
      <c r="D31" s="87"/>
      <c r="E31" s="87">
        <f>E9-E30</f>
        <v>31772766</v>
      </c>
      <c r="F31" s="511">
        <f>F9-F30</f>
        <v>29634821</v>
      </c>
      <c r="G31" s="41"/>
      <c r="H31" s="41"/>
    </row>
    <row r="32" spans="1:8" ht="24.75" customHeight="1">
      <c r="A32" s="85" t="s">
        <v>469</v>
      </c>
      <c r="B32" s="86" t="s">
        <v>470</v>
      </c>
      <c r="C32" s="47"/>
      <c r="D32" s="87"/>
      <c r="E32" s="87">
        <f>E10-E31</f>
        <v>3119708</v>
      </c>
      <c r="F32" s="511">
        <f>F10-F31</f>
        <v>3157843</v>
      </c>
      <c r="G32" s="41"/>
      <c r="H32" s="41"/>
    </row>
    <row r="33" spans="1:8" ht="40.5" customHeight="1" thickBot="1">
      <c r="A33" s="45" t="s">
        <v>369</v>
      </c>
      <c r="B33" s="369" t="s">
        <v>471</v>
      </c>
      <c r="C33" s="93"/>
      <c r="D33" s="214">
        <v>0</v>
      </c>
      <c r="E33" s="214">
        <f>E13</f>
        <v>3119708</v>
      </c>
      <c r="F33" s="514">
        <f>F13</f>
        <v>3157843</v>
      </c>
      <c r="G33" s="41"/>
      <c r="H33" s="41"/>
    </row>
    <row r="37" ht="30.75" customHeight="1">
      <c r="C37" t="s">
        <v>404</v>
      </c>
    </row>
    <row r="40" ht="12.75">
      <c r="E40" t="s">
        <v>330</v>
      </c>
    </row>
  </sheetData>
  <mergeCells count="9">
    <mergeCell ref="C2:E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B12" sqref="B12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738"/>
      <c r="F1" s="738"/>
      <c r="G1" s="738"/>
      <c r="H1" s="738"/>
      <c r="I1" s="738"/>
      <c r="J1" s="738"/>
      <c r="K1" s="738"/>
    </row>
    <row r="2" spans="3:11" ht="21" customHeight="1">
      <c r="C2" s="741" t="s">
        <v>209</v>
      </c>
      <c r="D2" s="741"/>
      <c r="E2" s="741"/>
      <c r="F2" s="741"/>
      <c r="G2" s="741"/>
      <c r="H2" s="741"/>
      <c r="I2" s="741"/>
      <c r="J2" s="741"/>
      <c r="K2" s="741"/>
    </row>
    <row r="3" spans="3:11" ht="21" customHeight="1">
      <c r="C3" s="324"/>
      <c r="D3" s="324"/>
      <c r="E3" s="324"/>
      <c r="F3" s="324"/>
      <c r="G3" s="324"/>
      <c r="H3" s="324"/>
      <c r="I3" s="324"/>
      <c r="J3" s="324"/>
      <c r="K3" s="324"/>
    </row>
    <row r="4" spans="3:11" ht="12.75">
      <c r="C4" s="741"/>
      <c r="D4" s="741"/>
      <c r="E4" s="741"/>
      <c r="F4" s="741"/>
      <c r="G4" s="741"/>
      <c r="H4" s="741"/>
      <c r="I4" s="741"/>
      <c r="J4" s="741"/>
      <c r="K4" s="741"/>
    </row>
    <row r="5" spans="1:11" ht="28.5" customHeight="1">
      <c r="A5" s="742" t="s">
        <v>223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</row>
    <row r="6" spans="1:11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39" customHeight="1">
      <c r="A7" s="739" t="s">
        <v>270</v>
      </c>
      <c r="B7" s="739" t="s">
        <v>261</v>
      </c>
      <c r="C7" s="747" t="s">
        <v>417</v>
      </c>
      <c r="D7" s="748"/>
      <c r="E7" s="743" t="s">
        <v>879</v>
      </c>
      <c r="F7" s="744"/>
      <c r="G7" s="747" t="s">
        <v>418</v>
      </c>
      <c r="H7" s="748"/>
      <c r="I7" s="190"/>
      <c r="J7" s="190"/>
      <c r="K7" s="628" t="s">
        <v>419</v>
      </c>
    </row>
    <row r="8" spans="1:11" ht="37.5" customHeight="1">
      <c r="A8" s="740"/>
      <c r="B8" s="740"/>
      <c r="C8" s="749"/>
      <c r="D8" s="750"/>
      <c r="E8" s="745"/>
      <c r="F8" s="746"/>
      <c r="G8" s="749"/>
      <c r="H8" s="750"/>
      <c r="I8" s="192"/>
      <c r="J8" s="192"/>
      <c r="K8" s="628"/>
    </row>
    <row r="9" spans="1:11" ht="14.25" customHeight="1">
      <c r="A9" s="188">
        <v>1</v>
      </c>
      <c r="B9" s="188">
        <v>2</v>
      </c>
      <c r="C9" s="191">
        <v>3</v>
      </c>
      <c r="D9" s="192"/>
      <c r="E9" s="193">
        <v>4</v>
      </c>
      <c r="F9" s="194"/>
      <c r="G9" s="2">
        <v>7</v>
      </c>
      <c r="H9" s="2"/>
      <c r="I9" s="2"/>
      <c r="J9" s="2"/>
      <c r="K9" s="104">
        <v>10</v>
      </c>
    </row>
    <row r="10" spans="1:11" ht="38.25">
      <c r="A10" s="7" t="s">
        <v>895</v>
      </c>
      <c r="B10" s="4" t="s">
        <v>224</v>
      </c>
      <c r="C10" s="7">
        <f>C12+C15+C17+C19+C24</f>
        <v>86176</v>
      </c>
      <c r="D10" s="7">
        <f>D11+D12+D13+D14+D15+D16+D17+D18+D19+D20+D21+D22+D23</f>
        <v>18301</v>
      </c>
      <c r="E10" s="7">
        <f>E12+E15+E17+E19+E24</f>
        <v>240020</v>
      </c>
      <c r="F10" s="7">
        <f>F11+F12+F13+F14+F15+F16+F17+F18+F19+F20+F21+F22+F23</f>
        <v>419470</v>
      </c>
      <c r="G10" s="7">
        <f>G12+G15+G17+G19+G24</f>
        <v>318735</v>
      </c>
      <c r="H10" s="7">
        <f>H11+H12+H13+H14+H15+H16+H17+H18+H19+H20+H21+H22+H23</f>
        <v>424812</v>
      </c>
      <c r="I10" s="7"/>
      <c r="J10" s="7"/>
      <c r="K10" s="7">
        <f>K12+K15+K17+K19+K24</f>
        <v>7461</v>
      </c>
    </row>
    <row r="11" spans="1:11" ht="25.5" hidden="1">
      <c r="A11" s="8" t="s">
        <v>903</v>
      </c>
      <c r="B11" s="11" t="s">
        <v>392</v>
      </c>
      <c r="C11" s="8">
        <v>0</v>
      </c>
      <c r="D11" s="8">
        <v>5558</v>
      </c>
      <c r="E11" s="8">
        <v>0</v>
      </c>
      <c r="F11" s="8">
        <v>182220</v>
      </c>
      <c r="G11" s="8">
        <v>0</v>
      </c>
      <c r="H11" s="8">
        <v>181928</v>
      </c>
      <c r="I11" s="8"/>
      <c r="J11" s="8"/>
      <c r="K11" s="8">
        <f>C11+E11-G11</f>
        <v>0</v>
      </c>
    </row>
    <row r="12" spans="1:11" ht="25.5">
      <c r="A12" s="8" t="s">
        <v>903</v>
      </c>
      <c r="B12" s="11" t="s">
        <v>60</v>
      </c>
      <c r="C12" s="8">
        <v>5000</v>
      </c>
      <c r="D12" s="8">
        <v>2200</v>
      </c>
      <c r="E12" s="8">
        <v>97000</v>
      </c>
      <c r="F12" s="8">
        <v>99450</v>
      </c>
      <c r="G12" s="8">
        <v>102000</v>
      </c>
      <c r="H12" s="8">
        <v>100550</v>
      </c>
      <c r="I12" s="8"/>
      <c r="J12" s="8"/>
      <c r="K12" s="8">
        <f>C12+E12-G12</f>
        <v>0</v>
      </c>
    </row>
    <row r="13" spans="1:11" ht="25.5" hidden="1">
      <c r="A13" s="8" t="s">
        <v>906</v>
      </c>
      <c r="B13" s="11" t="s">
        <v>271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/>
      <c r="J13" s="8"/>
      <c r="K13" s="8">
        <v>0</v>
      </c>
    </row>
    <row r="14" spans="1:11" ht="25.5" hidden="1">
      <c r="A14" s="8" t="s">
        <v>908</v>
      </c>
      <c r="B14" s="11" t="s">
        <v>275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8"/>
      <c r="K14" s="8">
        <v>0</v>
      </c>
    </row>
    <row r="15" spans="1:11" ht="31.5" customHeight="1">
      <c r="A15" s="8">
        <v>2</v>
      </c>
      <c r="B15" s="11" t="s">
        <v>564</v>
      </c>
      <c r="C15" s="8">
        <v>3911</v>
      </c>
      <c r="D15" s="8">
        <v>6009</v>
      </c>
      <c r="E15" s="8">
        <v>95020</v>
      </c>
      <c r="F15" s="8">
        <v>101000</v>
      </c>
      <c r="G15" s="8">
        <v>95020</v>
      </c>
      <c r="H15" s="8">
        <v>101000</v>
      </c>
      <c r="I15" s="8"/>
      <c r="J15" s="8"/>
      <c r="K15" s="8">
        <f>C15+E15-G15</f>
        <v>3911</v>
      </c>
    </row>
    <row r="16" spans="1:11" ht="25.5" hidden="1">
      <c r="A16" s="8" t="s">
        <v>968</v>
      </c>
      <c r="B16" s="11" t="s">
        <v>276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/>
      <c r="J16" s="8"/>
      <c r="K16" s="8">
        <v>0</v>
      </c>
    </row>
    <row r="17" spans="1:11" ht="38.25" customHeight="1">
      <c r="A17" s="8">
        <v>3</v>
      </c>
      <c r="B17" s="11" t="s">
        <v>565</v>
      </c>
      <c r="C17" s="8">
        <v>5200</v>
      </c>
      <c r="D17" s="8">
        <v>0</v>
      </c>
      <c r="E17" s="8">
        <v>16000</v>
      </c>
      <c r="F17" s="8">
        <v>8100</v>
      </c>
      <c r="G17" s="8">
        <v>20000</v>
      </c>
      <c r="H17" s="8">
        <v>8100</v>
      </c>
      <c r="I17" s="8"/>
      <c r="J17" s="8"/>
      <c r="K17" s="8">
        <f>C17+E17-G17</f>
        <v>1200</v>
      </c>
    </row>
    <row r="18" spans="1:11" ht="12.75" hidden="1">
      <c r="A18" s="8" t="s">
        <v>952</v>
      </c>
      <c r="B18" s="11" t="s">
        <v>277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>
        <v>0</v>
      </c>
    </row>
    <row r="19" spans="1:11" ht="20.25" customHeight="1">
      <c r="A19" s="8">
        <v>4</v>
      </c>
      <c r="B19" s="11" t="s">
        <v>278</v>
      </c>
      <c r="C19" s="8">
        <v>7065</v>
      </c>
      <c r="D19" s="8">
        <v>4534</v>
      </c>
      <c r="E19" s="8">
        <v>2000</v>
      </c>
      <c r="F19" s="8">
        <v>5200</v>
      </c>
      <c r="G19" s="8">
        <v>6715</v>
      </c>
      <c r="H19" s="8">
        <v>9734</v>
      </c>
      <c r="I19" s="8"/>
      <c r="J19" s="8"/>
      <c r="K19" s="8">
        <f>C19+E19-G19</f>
        <v>2350</v>
      </c>
    </row>
    <row r="20" spans="1:11" ht="27" customHeight="1" hidden="1">
      <c r="A20" s="8" t="s">
        <v>61</v>
      </c>
      <c r="B20" s="11" t="s">
        <v>279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>
        <v>0</v>
      </c>
    </row>
    <row r="21" spans="1:11" ht="25.5" hidden="1">
      <c r="A21" s="8" t="s">
        <v>968</v>
      </c>
      <c r="B21" s="11" t="s">
        <v>62</v>
      </c>
      <c r="C21" s="8">
        <v>0</v>
      </c>
      <c r="D21" s="8">
        <v>0</v>
      </c>
      <c r="E21" s="8">
        <v>15000</v>
      </c>
      <c r="F21" s="8">
        <v>23500</v>
      </c>
      <c r="G21" s="8">
        <v>15000</v>
      </c>
      <c r="H21" s="8">
        <v>23500</v>
      </c>
      <c r="I21" s="8"/>
      <c r="J21" s="8"/>
      <c r="K21" s="8">
        <f>C21+E21-G21</f>
        <v>0</v>
      </c>
    </row>
    <row r="22" spans="1:11" ht="25.5" hidden="1">
      <c r="A22" s="8" t="s">
        <v>63</v>
      </c>
      <c r="B22" s="11" t="s">
        <v>280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>
        <v>0</v>
      </c>
    </row>
    <row r="23" spans="1:11" ht="26.25" customHeight="1" hidden="1">
      <c r="A23" s="8" t="s">
        <v>970</v>
      </c>
      <c r="B23" s="11" t="s">
        <v>281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>
        <f>E23-G23</f>
        <v>0</v>
      </c>
    </row>
    <row r="24" spans="1:11" ht="29.25" customHeight="1">
      <c r="A24" s="8">
        <v>5</v>
      </c>
      <c r="B24" s="11" t="s">
        <v>62</v>
      </c>
      <c r="C24" s="8">
        <v>65000</v>
      </c>
      <c r="D24" s="8"/>
      <c r="E24" s="8">
        <v>30000</v>
      </c>
      <c r="F24" s="8"/>
      <c r="G24" s="8">
        <v>95000</v>
      </c>
      <c r="H24" s="8"/>
      <c r="I24" s="8"/>
      <c r="J24" s="8"/>
      <c r="K24" s="8">
        <f>C24+E24-G24</f>
        <v>0</v>
      </c>
    </row>
    <row r="27" ht="12.75">
      <c r="E27" t="s">
        <v>404</v>
      </c>
    </row>
  </sheetData>
  <mergeCells count="10">
    <mergeCell ref="E1:K1"/>
    <mergeCell ref="K7:K8"/>
    <mergeCell ref="B7:B8"/>
    <mergeCell ref="C2:K2"/>
    <mergeCell ref="A5:K5"/>
    <mergeCell ref="A7:A8"/>
    <mergeCell ref="E7:F8"/>
    <mergeCell ref="G7:H8"/>
    <mergeCell ref="C7:D8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1" sqref="C1:C2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ht="12.75">
      <c r="C1" s="726" t="s">
        <v>200</v>
      </c>
    </row>
    <row r="2" ht="57.75" customHeight="1">
      <c r="C2" s="726"/>
    </row>
    <row r="3" spans="1:3" ht="39.75" customHeight="1">
      <c r="A3" s="762" t="s">
        <v>297</v>
      </c>
      <c r="B3" s="762"/>
      <c r="C3" s="762"/>
    </row>
    <row r="4" spans="1:3" ht="15.75">
      <c r="A4" s="178"/>
      <c r="B4" s="178"/>
      <c r="C4" s="1"/>
    </row>
    <row r="5" ht="13.5" thickBot="1">
      <c r="C5" s="42"/>
    </row>
    <row r="6" spans="1:3" ht="13.5" thickBot="1">
      <c r="A6" s="66" t="s">
        <v>891</v>
      </c>
      <c r="B6" s="179" t="s">
        <v>261</v>
      </c>
      <c r="C6" s="195" t="s">
        <v>199</v>
      </c>
    </row>
    <row r="7" spans="1:3" ht="13.5" thickBot="1">
      <c r="A7" s="66" t="s">
        <v>895</v>
      </c>
      <c r="B7" s="180" t="s">
        <v>262</v>
      </c>
      <c r="C7" s="196">
        <f>C8+C9-C10</f>
        <v>46611</v>
      </c>
    </row>
    <row r="8" spans="1:3" ht="12.75">
      <c r="A8" s="181" t="s">
        <v>903</v>
      </c>
      <c r="B8" s="182" t="s">
        <v>263</v>
      </c>
      <c r="C8" s="40">
        <v>46611</v>
      </c>
    </row>
    <row r="9" spans="1:3" ht="12.75">
      <c r="A9" s="99" t="s">
        <v>904</v>
      </c>
      <c r="B9" s="183" t="s">
        <v>264</v>
      </c>
      <c r="C9" s="8">
        <v>0</v>
      </c>
    </row>
    <row r="10" spans="1:3" ht="12.75">
      <c r="A10" s="99" t="s">
        <v>906</v>
      </c>
      <c r="B10" s="183" t="s">
        <v>265</v>
      </c>
      <c r="C10" s="8">
        <v>0</v>
      </c>
    </row>
    <row r="11" spans="1:3" ht="13.5" thickBot="1">
      <c r="A11" s="103" t="s">
        <v>908</v>
      </c>
      <c r="B11" s="184" t="s">
        <v>266</v>
      </c>
      <c r="C11" s="78">
        <v>0</v>
      </c>
    </row>
    <row r="12" spans="1:3" ht="13.5" thickBot="1">
      <c r="A12" s="66" t="s">
        <v>897</v>
      </c>
      <c r="B12" s="180" t="s">
        <v>267</v>
      </c>
      <c r="C12" s="196">
        <f>C13+C14</f>
        <v>60000</v>
      </c>
    </row>
    <row r="13" spans="1:3" ht="13.5" thickBot="1">
      <c r="A13" s="197" t="s">
        <v>903</v>
      </c>
      <c r="B13" s="41" t="s">
        <v>293</v>
      </c>
      <c r="C13" s="39">
        <v>60000</v>
      </c>
    </row>
    <row r="14" spans="1:3" ht="27" customHeight="1" thickBot="1">
      <c r="A14" s="277" t="s">
        <v>904</v>
      </c>
      <c r="B14" s="278" t="s">
        <v>294</v>
      </c>
      <c r="C14" s="279">
        <v>0</v>
      </c>
    </row>
    <row r="15" spans="1:3" ht="13.5" thickBot="1">
      <c r="A15" s="66" t="s">
        <v>901</v>
      </c>
      <c r="B15" s="180" t="s">
        <v>808</v>
      </c>
      <c r="C15" s="81">
        <f>C16+C22</f>
        <v>88000</v>
      </c>
    </row>
    <row r="16" spans="1:3" ht="12.75">
      <c r="A16" s="185" t="s">
        <v>903</v>
      </c>
      <c r="B16" s="109" t="s">
        <v>268</v>
      </c>
      <c r="C16" s="50">
        <f>C17+C18+C21+C20+C19</f>
        <v>38000</v>
      </c>
    </row>
    <row r="17" spans="1:3" ht="24.75" customHeight="1">
      <c r="A17" s="99"/>
      <c r="B17" s="100" t="s">
        <v>298</v>
      </c>
      <c r="C17" s="8">
        <v>15000</v>
      </c>
    </row>
    <row r="18" spans="1:3" ht="24.75" customHeight="1">
      <c r="A18" s="99"/>
      <c r="B18" s="100" t="s">
        <v>147</v>
      </c>
      <c r="C18" s="8">
        <v>0</v>
      </c>
    </row>
    <row r="19" spans="1:3" ht="36" customHeight="1">
      <c r="A19" s="99"/>
      <c r="B19" s="100" t="s">
        <v>244</v>
      </c>
      <c r="C19" s="8">
        <v>5000</v>
      </c>
    </row>
    <row r="20" spans="1:3" ht="16.5" customHeight="1">
      <c r="A20" s="99"/>
      <c r="B20" s="100" t="s">
        <v>300</v>
      </c>
      <c r="C20" s="8">
        <v>10000</v>
      </c>
    </row>
    <row r="21" spans="1:3" ht="17.25" customHeight="1">
      <c r="A21" s="99"/>
      <c r="B21" s="100" t="s">
        <v>363</v>
      </c>
      <c r="C21" s="8">
        <v>8000</v>
      </c>
    </row>
    <row r="22" spans="1:3" ht="12.75">
      <c r="A22" s="111" t="s">
        <v>904</v>
      </c>
      <c r="B22" s="198" t="s">
        <v>299</v>
      </c>
      <c r="C22" s="7">
        <f>C23+C24</f>
        <v>50000</v>
      </c>
    </row>
    <row r="23" spans="1:3" ht="12.75">
      <c r="A23" s="199"/>
      <c r="B23" s="200" t="s">
        <v>383</v>
      </c>
      <c r="C23" s="141">
        <v>10000</v>
      </c>
    </row>
    <row r="24" spans="1:3" ht="13.5" thickBot="1">
      <c r="A24" s="199"/>
      <c r="B24" s="200" t="s">
        <v>295</v>
      </c>
      <c r="C24" s="141">
        <v>40000</v>
      </c>
    </row>
    <row r="25" spans="1:3" ht="13.5" thickBot="1">
      <c r="A25" s="66" t="s">
        <v>152</v>
      </c>
      <c r="B25" s="180" t="s">
        <v>269</v>
      </c>
      <c r="C25" s="196">
        <f>C7+C12-C15</f>
        <v>18611</v>
      </c>
    </row>
    <row r="26" spans="1:3" ht="12.75">
      <c r="A26" s="97" t="s">
        <v>903</v>
      </c>
      <c r="B26" s="186" t="s">
        <v>263</v>
      </c>
      <c r="C26" s="201">
        <f>C25</f>
        <v>18611</v>
      </c>
    </row>
    <row r="27" spans="1:3" ht="12.75">
      <c r="A27" s="99" t="s">
        <v>904</v>
      </c>
      <c r="B27" s="183" t="s">
        <v>264</v>
      </c>
      <c r="C27" s="236">
        <v>0</v>
      </c>
    </row>
    <row r="28" spans="1:3" ht="13.5" thickBot="1">
      <c r="A28" s="44" t="s">
        <v>906</v>
      </c>
      <c r="B28" s="187" t="s">
        <v>265</v>
      </c>
      <c r="C28" s="237">
        <v>0</v>
      </c>
    </row>
    <row r="29" ht="33.75" customHeight="1"/>
    <row r="30" spans="2:3" ht="12.75">
      <c r="B30" s="690" t="s">
        <v>543</v>
      </c>
      <c r="C30" s="690"/>
    </row>
  </sheetData>
  <mergeCells count="3">
    <mergeCell ref="C1:C2"/>
    <mergeCell ref="A3:C3"/>
    <mergeCell ref="B30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selection activeCell="D7" sqref="D7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0.5" customHeight="1">
      <c r="C1" s="760" t="s">
        <v>197</v>
      </c>
    </row>
    <row r="2" ht="12.75">
      <c r="C2" s="760"/>
    </row>
    <row r="3" ht="12.75">
      <c r="C3" s="760"/>
    </row>
    <row r="4" spans="1:3" ht="33.75" customHeight="1">
      <c r="A4" s="762" t="s">
        <v>358</v>
      </c>
      <c r="B4" s="762"/>
      <c r="C4" s="762"/>
    </row>
    <row r="5" spans="1:2" ht="14.25" customHeight="1">
      <c r="A5" s="178"/>
      <c r="B5" s="178"/>
    </row>
    <row r="6" ht="13.5" thickBot="1">
      <c r="C6" s="204" t="s">
        <v>359</v>
      </c>
    </row>
    <row r="7" spans="1:3" ht="23.25" customHeight="1" thickBot="1">
      <c r="A7" s="66" t="s">
        <v>891</v>
      </c>
      <c r="B7" s="179" t="s">
        <v>261</v>
      </c>
      <c r="C7" s="16" t="s">
        <v>421</v>
      </c>
    </row>
    <row r="8" spans="1:3" ht="16.5" customHeight="1" thickBot="1">
      <c r="A8" s="66" t="s">
        <v>895</v>
      </c>
      <c r="B8" s="180" t="s">
        <v>262</v>
      </c>
      <c r="C8" s="7">
        <f>C9+C10-C11</f>
        <v>41054</v>
      </c>
    </row>
    <row r="9" spans="1:3" ht="15.75" customHeight="1">
      <c r="A9" s="181" t="s">
        <v>903</v>
      </c>
      <c r="B9" s="182" t="s">
        <v>263</v>
      </c>
      <c r="C9" s="8">
        <v>40054</v>
      </c>
    </row>
    <row r="10" spans="1:3" ht="18.75" customHeight="1">
      <c r="A10" s="99" t="s">
        <v>904</v>
      </c>
      <c r="B10" s="183" t="s">
        <v>264</v>
      </c>
      <c r="C10" s="8">
        <v>10000</v>
      </c>
    </row>
    <row r="11" spans="1:3" ht="17.25" customHeight="1">
      <c r="A11" s="99" t="s">
        <v>906</v>
      </c>
      <c r="B11" s="183" t="s">
        <v>265</v>
      </c>
      <c r="C11" s="8">
        <v>9000</v>
      </c>
    </row>
    <row r="12" spans="1:3" ht="16.5" customHeight="1" thickBot="1">
      <c r="A12" s="103" t="s">
        <v>908</v>
      </c>
      <c r="B12" s="184" t="s">
        <v>266</v>
      </c>
      <c r="C12" s="78">
        <v>0</v>
      </c>
    </row>
    <row r="13" spans="1:3" ht="20.25" customHeight="1" thickBot="1">
      <c r="A13" s="66" t="s">
        <v>897</v>
      </c>
      <c r="B13" s="180" t="s">
        <v>267</v>
      </c>
      <c r="C13" s="88">
        <f>C14+C15</f>
        <v>150000</v>
      </c>
    </row>
    <row r="14" spans="1:3" ht="16.5" customHeight="1">
      <c r="A14" s="97" t="s">
        <v>903</v>
      </c>
      <c r="B14" s="98" t="s">
        <v>291</v>
      </c>
      <c r="C14" s="40">
        <v>150000</v>
      </c>
    </row>
    <row r="15" spans="1:3" ht="16.5" customHeight="1" thickBot="1">
      <c r="A15" s="99">
        <v>2</v>
      </c>
      <c r="B15" s="101" t="s">
        <v>292</v>
      </c>
      <c r="C15" s="8"/>
    </row>
    <row r="16" spans="1:3" ht="18" customHeight="1" thickBot="1">
      <c r="A16" s="66" t="s">
        <v>901</v>
      </c>
      <c r="B16" s="180" t="s">
        <v>808</v>
      </c>
      <c r="C16" s="88">
        <f>C17+C25</f>
        <v>171054</v>
      </c>
    </row>
    <row r="17" spans="1:3" ht="17.25" customHeight="1">
      <c r="A17" s="185" t="s">
        <v>903</v>
      </c>
      <c r="B17" s="109" t="s">
        <v>268</v>
      </c>
      <c r="C17" s="50">
        <f>C18+C21+C22+C23+C24</f>
        <v>151054</v>
      </c>
    </row>
    <row r="18" spans="1:3" ht="17.25" customHeight="1">
      <c r="A18" s="99"/>
      <c r="B18" s="101" t="s">
        <v>360</v>
      </c>
      <c r="C18" s="8">
        <f>C19+C20</f>
        <v>30000</v>
      </c>
    </row>
    <row r="19" spans="1:3" ht="17.25" customHeight="1">
      <c r="A19" s="99"/>
      <c r="B19" s="183" t="s">
        <v>201</v>
      </c>
      <c r="C19" s="8">
        <v>15000</v>
      </c>
    </row>
    <row r="20" spans="1:3" ht="17.25" customHeight="1">
      <c r="A20" s="99"/>
      <c r="B20" s="183" t="s">
        <v>202</v>
      </c>
      <c r="C20" s="8">
        <v>15000</v>
      </c>
    </row>
    <row r="21" spans="1:3" ht="17.25" customHeight="1">
      <c r="A21" s="99"/>
      <c r="B21" s="101" t="s">
        <v>361</v>
      </c>
      <c r="C21" s="8">
        <v>50000</v>
      </c>
    </row>
    <row r="22" spans="1:3" ht="16.5" customHeight="1">
      <c r="A22" s="99"/>
      <c r="B22" s="101" t="s">
        <v>362</v>
      </c>
      <c r="C22" s="8">
        <v>0</v>
      </c>
    </row>
    <row r="23" spans="1:3" ht="19.5" customHeight="1">
      <c r="A23" s="99"/>
      <c r="B23" s="100" t="s">
        <v>363</v>
      </c>
      <c r="C23" s="8">
        <v>71054</v>
      </c>
    </row>
    <row r="24" spans="1:3" ht="18" customHeight="1">
      <c r="A24" s="99"/>
      <c r="B24" s="101" t="s">
        <v>364</v>
      </c>
      <c r="C24" s="8">
        <v>0</v>
      </c>
    </row>
    <row r="25" spans="1:3" ht="15.75" customHeight="1">
      <c r="A25" s="217" t="s">
        <v>904</v>
      </c>
      <c r="B25" s="218" t="s">
        <v>365</v>
      </c>
      <c r="C25" s="7">
        <f>C26</f>
        <v>20000</v>
      </c>
    </row>
    <row r="26" spans="1:3" ht="12.75">
      <c r="A26" s="103"/>
      <c r="B26" s="219" t="s">
        <v>366</v>
      </c>
      <c r="C26" s="78">
        <v>20000</v>
      </c>
    </row>
    <row r="27" spans="1:3" ht="16.5" customHeight="1">
      <c r="A27" s="16" t="s">
        <v>954</v>
      </c>
      <c r="B27" s="7" t="s">
        <v>269</v>
      </c>
      <c r="C27" s="7">
        <f>C28+C29-C30</f>
        <v>20000</v>
      </c>
    </row>
    <row r="28" spans="1:3" ht="15.75" customHeight="1">
      <c r="A28" s="97" t="s">
        <v>903</v>
      </c>
      <c r="B28" s="186" t="s">
        <v>263</v>
      </c>
      <c r="C28" s="220">
        <v>19000</v>
      </c>
    </row>
    <row r="29" spans="1:3" ht="15" customHeight="1">
      <c r="A29" s="99" t="s">
        <v>904</v>
      </c>
      <c r="B29" s="183" t="s">
        <v>264</v>
      </c>
      <c r="C29" s="221">
        <v>2000</v>
      </c>
    </row>
    <row r="30" spans="1:3" ht="15" customHeight="1" thickBot="1">
      <c r="A30" s="44" t="s">
        <v>906</v>
      </c>
      <c r="B30" s="187" t="s">
        <v>265</v>
      </c>
      <c r="C30" s="222">
        <v>1000</v>
      </c>
    </row>
    <row r="33" spans="2:3" ht="12.75">
      <c r="B33" s="690" t="s">
        <v>549</v>
      </c>
      <c r="C33" s="690"/>
    </row>
    <row r="38" spans="1:3" ht="12.75">
      <c r="A38" s="41"/>
      <c r="B38" s="41"/>
      <c r="C38" s="761"/>
    </row>
    <row r="39" spans="1:3" ht="12" customHeight="1">
      <c r="A39" s="41"/>
      <c r="B39" s="41"/>
      <c r="C39" s="761"/>
    </row>
    <row r="40" spans="1:3" ht="14.25" customHeight="1">
      <c r="A40" s="759"/>
      <c r="B40" s="759"/>
      <c r="C40" s="41"/>
    </row>
    <row r="41" spans="1:3" ht="15.75">
      <c r="A41" s="224"/>
      <c r="B41" s="224"/>
      <c r="C41" s="223"/>
    </row>
    <row r="42" spans="1:3" ht="12.75">
      <c r="A42" s="41"/>
      <c r="B42" s="41"/>
      <c r="C42" s="225"/>
    </row>
    <row r="43" spans="1:3" ht="12.75">
      <c r="A43" s="160"/>
      <c r="B43" s="160"/>
      <c r="C43" s="216"/>
    </row>
    <row r="44" spans="1:3" ht="12.75">
      <c r="A44" s="160"/>
      <c r="B44" s="145"/>
      <c r="C44" s="145"/>
    </row>
    <row r="45" spans="1:3" ht="12.75">
      <c r="A45" s="189"/>
      <c r="B45" s="226"/>
      <c r="C45" s="41"/>
    </row>
    <row r="46" spans="1:3" ht="12.75">
      <c r="A46" s="189"/>
      <c r="B46" s="226"/>
      <c r="C46" s="41"/>
    </row>
    <row r="47" spans="1:3" ht="12.75">
      <c r="A47" s="189"/>
      <c r="B47" s="226"/>
      <c r="C47" s="41"/>
    </row>
    <row r="48" spans="1:3" ht="12.75">
      <c r="A48" s="189"/>
      <c r="B48" s="226"/>
      <c r="C48" s="41"/>
    </row>
    <row r="49" spans="1:3" ht="12.75">
      <c r="A49" s="160"/>
      <c r="B49" s="145"/>
      <c r="C49" s="145"/>
    </row>
    <row r="50" spans="1:3" ht="12.75">
      <c r="A50" s="189"/>
      <c r="B50" s="41"/>
      <c r="C50" s="41"/>
    </row>
    <row r="51" spans="1:3" ht="12.75">
      <c r="A51" s="160"/>
      <c r="B51" s="145"/>
      <c r="C51" s="145"/>
    </row>
    <row r="52" spans="1:3" ht="12.75">
      <c r="A52" s="160"/>
      <c r="B52" s="145"/>
      <c r="C52" s="145"/>
    </row>
    <row r="53" spans="1:3" ht="12.75">
      <c r="A53" s="189"/>
      <c r="B53" s="225"/>
      <c r="C53" s="41"/>
    </row>
    <row r="54" spans="1:3" ht="12.75">
      <c r="A54" s="189"/>
      <c r="B54" s="225"/>
      <c r="C54" s="41"/>
    </row>
    <row r="55" spans="1:3" ht="12.75">
      <c r="A55" s="227"/>
      <c r="B55" s="145"/>
      <c r="C55" s="145"/>
    </row>
    <row r="56" spans="1:3" ht="12.75">
      <c r="A56" s="189"/>
      <c r="B56" s="225"/>
      <c r="C56" s="41"/>
    </row>
    <row r="57" spans="1:3" ht="12.75">
      <c r="A57" s="160"/>
      <c r="B57" s="145"/>
      <c r="C57" s="145"/>
    </row>
    <row r="58" spans="1:3" ht="12.75">
      <c r="A58" s="189"/>
      <c r="B58" s="226"/>
      <c r="C58" s="41"/>
    </row>
    <row r="59" spans="1:3" ht="12.75">
      <c r="A59" s="189"/>
      <c r="B59" s="226"/>
      <c r="C59" s="149"/>
    </row>
    <row r="60" spans="1:3" ht="12.75">
      <c r="A60" s="189"/>
      <c r="B60" s="226"/>
      <c r="C60" s="149"/>
    </row>
    <row r="61" spans="1:3" ht="12.75">
      <c r="A61" s="41"/>
      <c r="B61" s="41"/>
      <c r="C61" s="41"/>
    </row>
    <row r="62" spans="1:3" ht="12.75">
      <c r="A62" s="41"/>
      <c r="B62" s="41"/>
      <c r="C62" s="41"/>
    </row>
    <row r="63" spans="1:3" ht="12.75">
      <c r="A63" s="41"/>
      <c r="B63" s="41"/>
      <c r="C63" s="41"/>
    </row>
    <row r="64" spans="1:3" ht="12.75">
      <c r="A64" s="41"/>
      <c r="B64" s="41"/>
      <c r="C64" s="41"/>
    </row>
    <row r="65" spans="1:3" ht="12.75">
      <c r="A65" s="41"/>
      <c r="B65" s="41"/>
      <c r="C65" s="41"/>
    </row>
    <row r="66" spans="1:3" ht="12.75">
      <c r="A66" s="41"/>
      <c r="B66" s="41"/>
      <c r="C66" s="41"/>
    </row>
    <row r="67" spans="1:3" ht="12.75">
      <c r="A67" s="41"/>
      <c r="B67" s="41"/>
      <c r="C67" s="41"/>
    </row>
    <row r="68" spans="1:3" ht="12.75">
      <c r="A68" s="41"/>
      <c r="B68" s="41"/>
      <c r="C68" s="41"/>
    </row>
    <row r="69" spans="1:3" ht="12.75">
      <c r="A69" s="41"/>
      <c r="B69" s="41"/>
      <c r="C69" s="41"/>
    </row>
    <row r="70" spans="1:3" ht="12.75">
      <c r="A70" s="41"/>
      <c r="B70" s="41"/>
      <c r="C70" s="41"/>
    </row>
    <row r="71" spans="1:3" ht="12.75">
      <c r="A71" s="41"/>
      <c r="B71" s="41"/>
      <c r="C71" s="41"/>
    </row>
    <row r="72" spans="1:3" ht="12.75">
      <c r="A72" s="41"/>
      <c r="B72" s="41"/>
      <c r="C72" s="41"/>
    </row>
    <row r="73" spans="1:3" ht="12.75">
      <c r="A73" s="41"/>
      <c r="B73" s="41"/>
      <c r="C73" s="41"/>
    </row>
    <row r="74" spans="1:3" ht="12.75">
      <c r="A74" s="41"/>
      <c r="B74" s="41"/>
      <c r="C74" s="41"/>
    </row>
    <row r="75" spans="1:3" ht="12.75">
      <c r="A75" s="41"/>
      <c r="B75" s="41"/>
      <c r="C75" s="41"/>
    </row>
    <row r="76" spans="1:3" ht="12.75">
      <c r="A76" s="41"/>
      <c r="B76" s="41"/>
      <c r="C76" s="41"/>
    </row>
    <row r="77" spans="1:3" ht="12.75">
      <c r="A77" s="41"/>
      <c r="B77" s="41"/>
      <c r="C77" s="41"/>
    </row>
  </sheetData>
  <mergeCells count="5">
    <mergeCell ref="A40:B40"/>
    <mergeCell ref="C1:C3"/>
    <mergeCell ref="C38:C39"/>
    <mergeCell ref="A4:C4"/>
    <mergeCell ref="B33:C3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8" sqref="D8"/>
    </sheetView>
  </sheetViews>
  <sheetFormatPr defaultColWidth="9.00390625" defaultRowHeight="12.75"/>
  <cols>
    <col min="1" max="1" width="44.375" style="0" customWidth="1"/>
    <col min="2" max="2" width="30.375" style="0" customWidth="1"/>
    <col min="3" max="3" width="11.00390625" style="0" customWidth="1"/>
  </cols>
  <sheetData>
    <row r="1" spans="2:3" ht="39.75" customHeight="1">
      <c r="B1" s="571" t="s">
        <v>198</v>
      </c>
      <c r="C1" s="571"/>
    </row>
    <row r="2" spans="1:3" ht="39.75" customHeight="1">
      <c r="A2" s="758" t="s">
        <v>1003</v>
      </c>
      <c r="B2" s="758"/>
      <c r="C2" s="758"/>
    </row>
    <row r="3" spans="1:3" ht="12.75">
      <c r="A3" s="228"/>
      <c r="B3" s="228"/>
      <c r="C3" s="228"/>
    </row>
    <row r="5" ht="13.5" thickBot="1">
      <c r="C5" s="204" t="s">
        <v>367</v>
      </c>
    </row>
    <row r="6" spans="1:4" ht="13.5" thickBot="1">
      <c r="A6" s="233" t="s">
        <v>380</v>
      </c>
      <c r="B6" s="756" t="s">
        <v>368</v>
      </c>
      <c r="C6" s="757"/>
      <c r="D6" s="41"/>
    </row>
    <row r="7" spans="1:4" ht="12.75">
      <c r="A7" s="234">
        <v>1</v>
      </c>
      <c r="B7" s="267">
        <v>2</v>
      </c>
      <c r="C7" s="150"/>
      <c r="D7" s="41"/>
    </row>
    <row r="8" spans="1:3" ht="66.75" customHeight="1" thickBot="1">
      <c r="A8" s="235" t="s">
        <v>382</v>
      </c>
      <c r="B8" s="754">
        <v>16000</v>
      </c>
      <c r="C8" s="755"/>
    </row>
    <row r="9" spans="1:3" ht="22.5" customHeight="1" thickBot="1">
      <c r="A9" s="230" t="s">
        <v>381</v>
      </c>
      <c r="B9" s="752">
        <f>SUM(B8:B8)</f>
        <v>16000</v>
      </c>
      <c r="C9" s="753"/>
    </row>
    <row r="11" ht="12.75">
      <c r="B11" t="s">
        <v>404</v>
      </c>
    </row>
  </sheetData>
  <mergeCells count="5">
    <mergeCell ref="B1:C1"/>
    <mergeCell ref="B9:C9"/>
    <mergeCell ref="B8:C8"/>
    <mergeCell ref="B6:C6"/>
    <mergeCell ref="A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24" sqref="B24"/>
    </sheetView>
  </sheetViews>
  <sheetFormatPr defaultColWidth="9.00390625" defaultRowHeight="12.75"/>
  <cols>
    <col min="1" max="1" width="6.625" style="0" customWidth="1"/>
    <col min="2" max="2" width="52.875" style="0" customWidth="1"/>
    <col min="3" max="3" width="16.375" style="0" customWidth="1"/>
    <col min="4" max="4" width="17.875" style="0" customWidth="1"/>
    <col min="5" max="5" width="9.625" style="0" bestFit="1" customWidth="1"/>
  </cols>
  <sheetData>
    <row r="1" spans="3:4" ht="33.75" customHeight="1">
      <c r="C1" s="726" t="s">
        <v>210</v>
      </c>
      <c r="D1" s="726"/>
    </row>
    <row r="2" spans="1:4" ht="77.25" customHeight="1">
      <c r="A2" s="751" t="s">
        <v>1002</v>
      </c>
      <c r="B2" s="751"/>
      <c r="C2" s="751"/>
      <c r="D2" s="751"/>
    </row>
    <row r="3" spans="1:4" ht="24.75" customHeight="1">
      <c r="A3" s="2" t="s">
        <v>891</v>
      </c>
      <c r="B3" s="2" t="s">
        <v>323</v>
      </c>
      <c r="C3" s="2" t="s">
        <v>324</v>
      </c>
      <c r="D3" s="2" t="s">
        <v>325</v>
      </c>
    </row>
    <row r="4" spans="1:4" ht="12.75">
      <c r="A4" s="202">
        <v>1</v>
      </c>
      <c r="B4" s="202">
        <v>2</v>
      </c>
      <c r="C4" s="202">
        <v>4</v>
      </c>
      <c r="D4" s="202">
        <v>5</v>
      </c>
    </row>
    <row r="5" spans="1:5" ht="18.75" customHeight="1">
      <c r="A5" s="106" t="s">
        <v>903</v>
      </c>
      <c r="B5" s="4" t="s">
        <v>422</v>
      </c>
      <c r="C5" s="246"/>
      <c r="D5" s="9">
        <f>D6+D7</f>
        <v>119067</v>
      </c>
      <c r="E5" s="215"/>
    </row>
    <row r="6" spans="1:5" ht="17.25" customHeight="1">
      <c r="A6" s="248"/>
      <c r="B6" s="249" t="s">
        <v>423</v>
      </c>
      <c r="C6" s="250">
        <v>80120</v>
      </c>
      <c r="D6" s="251">
        <v>48687</v>
      </c>
      <c r="E6" s="215"/>
    </row>
    <row r="7" spans="1:4" ht="17.25" customHeight="1">
      <c r="A7" s="248"/>
      <c r="B7" s="249" t="s">
        <v>424</v>
      </c>
      <c r="C7" s="250">
        <v>80130</v>
      </c>
      <c r="D7" s="251">
        <v>70380</v>
      </c>
    </row>
    <row r="8" spans="1:4" ht="12.75" hidden="1">
      <c r="A8" s="248"/>
      <c r="B8" s="253" t="s">
        <v>329</v>
      </c>
      <c r="C8" s="255">
        <v>0</v>
      </c>
      <c r="D8" s="256">
        <v>0</v>
      </c>
    </row>
    <row r="9" spans="1:4" ht="24.75" customHeight="1">
      <c r="A9" s="370" t="s">
        <v>904</v>
      </c>
      <c r="B9" s="49" t="s">
        <v>425</v>
      </c>
      <c r="C9" s="257"/>
      <c r="D9" s="304">
        <f>D10+D11</f>
        <v>224280</v>
      </c>
    </row>
    <row r="10" spans="1:4" ht="18.75" customHeight="1">
      <c r="A10" s="248"/>
      <c r="B10" s="249" t="s">
        <v>426</v>
      </c>
      <c r="C10" s="250">
        <v>80120</v>
      </c>
      <c r="D10" s="251">
        <v>191160</v>
      </c>
    </row>
    <row r="11" spans="1:4" ht="18.75" customHeight="1">
      <c r="A11" s="248"/>
      <c r="B11" s="249" t="s">
        <v>427</v>
      </c>
      <c r="C11" s="250">
        <v>80130</v>
      </c>
      <c r="D11" s="251">
        <v>33120</v>
      </c>
    </row>
    <row r="12" spans="1:4" ht="12.75" hidden="1">
      <c r="A12" s="255" t="s">
        <v>908</v>
      </c>
      <c r="B12" s="245" t="s">
        <v>326</v>
      </c>
      <c r="C12" s="258"/>
      <c r="D12" s="247">
        <f>D13</f>
        <v>0</v>
      </c>
    </row>
    <row r="13" spans="1:4" ht="24" customHeight="1" hidden="1">
      <c r="A13" s="252"/>
      <c r="B13" s="253" t="s">
        <v>327</v>
      </c>
      <c r="C13" s="255">
        <v>0</v>
      </c>
      <c r="D13" s="256">
        <v>0</v>
      </c>
    </row>
    <row r="14" spans="1:5" ht="25.5" customHeight="1">
      <c r="A14" s="106" t="s">
        <v>906</v>
      </c>
      <c r="B14" s="371" t="s">
        <v>428</v>
      </c>
      <c r="C14" s="246"/>
      <c r="D14" s="9">
        <f>D15+D16+D17+D18</f>
        <v>716653</v>
      </c>
      <c r="E14" s="215"/>
    </row>
    <row r="15" spans="1:4" ht="12.75">
      <c r="A15" s="248"/>
      <c r="B15" s="259" t="s">
        <v>226</v>
      </c>
      <c r="C15" s="250">
        <v>80102</v>
      </c>
      <c r="D15" s="251">
        <v>220604</v>
      </c>
    </row>
    <row r="16" spans="1:4" ht="12.75">
      <c r="A16" s="248"/>
      <c r="B16" s="259" t="s">
        <v>225</v>
      </c>
      <c r="C16" s="250">
        <v>80105</v>
      </c>
      <c r="D16" s="251">
        <v>111982</v>
      </c>
    </row>
    <row r="17" spans="1:4" ht="12.75">
      <c r="A17" s="248"/>
      <c r="B17" s="259" t="s">
        <v>429</v>
      </c>
      <c r="C17" s="250">
        <v>80111</v>
      </c>
      <c r="D17" s="251">
        <v>239080</v>
      </c>
    </row>
    <row r="18" spans="1:4" ht="13.5" thickBot="1">
      <c r="A18" s="252"/>
      <c r="B18" s="260" t="s">
        <v>430</v>
      </c>
      <c r="C18" s="255">
        <v>80134</v>
      </c>
      <c r="D18" s="256">
        <v>144987</v>
      </c>
    </row>
    <row r="19" spans="1:4" ht="12.75" hidden="1">
      <c r="A19" s="248"/>
      <c r="B19" s="547"/>
      <c r="C19" s="248"/>
      <c r="D19" s="548"/>
    </row>
    <row r="20" spans="1:4" ht="13.5" customHeight="1" thickBot="1">
      <c r="A20" s="549"/>
      <c r="B20" s="550" t="s">
        <v>328</v>
      </c>
      <c r="C20" s="551"/>
      <c r="D20" s="552">
        <f>D5+D9+D14</f>
        <v>1060000</v>
      </c>
    </row>
    <row r="21" spans="1:4" ht="12.75">
      <c r="A21" s="242"/>
      <c r="B21" s="242"/>
      <c r="C21" s="242"/>
      <c r="D21" s="243"/>
    </row>
    <row r="22" spans="1:4" ht="12.75">
      <c r="A22" s="242"/>
      <c r="B22" s="242"/>
      <c r="C22" s="242"/>
      <c r="D22" s="243"/>
    </row>
    <row r="23" spans="1:4" ht="16.5" customHeight="1">
      <c r="A23" s="242"/>
      <c r="B23" s="242"/>
      <c r="C23" s="113" t="s">
        <v>431</v>
      </c>
      <c r="D23" s="243"/>
    </row>
    <row r="24" spans="3:4" ht="48" customHeight="1">
      <c r="C24" t="s">
        <v>432</v>
      </c>
      <c r="D24" s="215"/>
    </row>
    <row r="25" ht="12.75">
      <c r="D25" s="215"/>
    </row>
    <row r="26" ht="12.75">
      <c r="D26" s="215"/>
    </row>
    <row r="27" ht="12.75">
      <c r="D27" s="215"/>
    </row>
    <row r="28" ht="12.75">
      <c r="D28" s="215"/>
    </row>
    <row r="29" ht="12.75">
      <c r="D29" s="215"/>
    </row>
    <row r="30" ht="12.75">
      <c r="D30" s="215"/>
    </row>
    <row r="31" ht="12.75">
      <c r="D31" s="215"/>
    </row>
    <row r="32" ht="12.75">
      <c r="D32" s="215"/>
    </row>
    <row r="33" ht="12.75">
      <c r="D33" s="215"/>
    </row>
  </sheetData>
  <mergeCells count="2">
    <mergeCell ref="A2:D2"/>
    <mergeCell ref="C1:D1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E1" sqref="E1"/>
    </sheetView>
  </sheetViews>
  <sheetFormatPr defaultColWidth="9.00390625" defaultRowHeight="12.75"/>
  <cols>
    <col min="2" max="2" width="39.75390625" style="0" customWidth="1"/>
    <col min="3" max="3" width="26.875" style="0" customWidth="1"/>
  </cols>
  <sheetData>
    <row r="1" ht="69.75" customHeight="1">
      <c r="C1" s="42" t="s">
        <v>52</v>
      </c>
    </row>
    <row r="3" s="871" customFormat="1" ht="54" customHeight="1">
      <c r="A3" s="870" t="s">
        <v>53</v>
      </c>
    </row>
    <row r="4" ht="13.5" thickBot="1">
      <c r="C4" s="872" t="s">
        <v>54</v>
      </c>
    </row>
    <row r="5" spans="2:3" s="37" customFormat="1" ht="17.25" customHeight="1" thickBot="1">
      <c r="B5" s="873" t="s">
        <v>323</v>
      </c>
      <c r="C5" s="874" t="s">
        <v>368</v>
      </c>
    </row>
    <row r="6" spans="2:3" ht="9" customHeight="1">
      <c r="B6" s="875">
        <v>1</v>
      </c>
      <c r="C6" s="875">
        <v>2</v>
      </c>
    </row>
    <row r="7" spans="2:3" ht="24" customHeight="1">
      <c r="B7" s="3" t="s">
        <v>55</v>
      </c>
      <c r="C7" s="3" t="s">
        <v>56</v>
      </c>
    </row>
    <row r="8" spans="2:3" ht="24" customHeight="1">
      <c r="B8" s="8"/>
      <c r="C8" s="8"/>
    </row>
    <row r="9" spans="2:3" ht="24" customHeight="1">
      <c r="B9" s="8"/>
      <c r="C9" s="8"/>
    </row>
    <row r="10" spans="2:3" ht="24" customHeight="1" thickBot="1">
      <c r="B10" s="78"/>
      <c r="C10" s="78"/>
    </row>
    <row r="11" spans="2:3" s="37" customFormat="1" ht="18.75" customHeight="1" thickBot="1">
      <c r="B11" s="873" t="s">
        <v>57</v>
      </c>
      <c r="C11" s="66" t="s">
        <v>58</v>
      </c>
    </row>
    <row r="15" ht="12.75">
      <c r="C15" s="204" t="s">
        <v>431</v>
      </c>
    </row>
    <row r="16" ht="26.25" customHeight="1">
      <c r="C16" s="204" t="s">
        <v>195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3">
      <selection activeCell="C6" sqref="C6"/>
    </sheetView>
  </sheetViews>
  <sheetFormatPr defaultColWidth="9.00390625" defaultRowHeight="12.75"/>
  <cols>
    <col min="1" max="1" width="37.00390625" style="0" customWidth="1"/>
    <col min="2" max="2" width="15.875" style="0" customWidth="1"/>
    <col min="3" max="3" width="14.25390625" style="0" customWidth="1"/>
    <col min="4" max="4" width="9.375" style="0" customWidth="1"/>
    <col min="5" max="5" width="10.25390625" style="0" customWidth="1"/>
    <col min="6" max="6" width="9.875" style="0" customWidth="1"/>
  </cols>
  <sheetData>
    <row r="1" spans="5:6" ht="54" customHeight="1">
      <c r="E1" s="571" t="s">
        <v>544</v>
      </c>
      <c r="F1" s="571"/>
    </row>
    <row r="2" spans="1:6" ht="32.25" customHeight="1">
      <c r="A2" s="572" t="s">
        <v>997</v>
      </c>
      <c r="B2" s="572"/>
      <c r="C2" s="572"/>
      <c r="D2" s="572"/>
      <c r="E2" s="572"/>
      <c r="F2" s="572"/>
    </row>
    <row r="3" spans="1:6" ht="18.75" customHeight="1">
      <c r="A3" s="570" t="s">
        <v>444</v>
      </c>
      <c r="B3" s="567" t="s">
        <v>998</v>
      </c>
      <c r="C3" s="574" t="s">
        <v>999</v>
      </c>
      <c r="D3" s="574" t="s">
        <v>819</v>
      </c>
      <c r="E3" s="573" t="s">
        <v>820</v>
      </c>
      <c r="F3" s="573"/>
    </row>
    <row r="4" spans="1:6" ht="25.5" customHeight="1">
      <c r="A4" s="570"/>
      <c r="B4" s="567"/>
      <c r="C4" s="566"/>
      <c r="D4" s="566"/>
      <c r="E4" s="2" t="s">
        <v>1000</v>
      </c>
      <c r="F4" s="2" t="s">
        <v>1001</v>
      </c>
    </row>
    <row r="5" spans="1:6" ht="14.25" customHeight="1">
      <c r="A5" s="3">
        <v>1</v>
      </c>
      <c r="B5" s="3">
        <v>2</v>
      </c>
      <c r="C5" s="46">
        <v>3</v>
      </c>
      <c r="D5" s="3">
        <v>4</v>
      </c>
      <c r="E5" s="3">
        <v>5</v>
      </c>
      <c r="F5" s="3">
        <v>6</v>
      </c>
    </row>
    <row r="6" spans="1:6" ht="40.5" customHeight="1">
      <c r="A6" s="4" t="s">
        <v>821</v>
      </c>
      <c r="B6" s="5">
        <f>'Z 1'!S58+'Z 1'!S59</f>
        <v>1691664</v>
      </c>
      <c r="C6" s="5">
        <f>'Z 1'!T58+'Z 1'!T59</f>
        <v>2035013</v>
      </c>
      <c r="D6" s="294">
        <f aca="true" t="shared" si="0" ref="D6:D21">IF($B6&gt;0,C6/B6*100,0)</f>
        <v>120.29652460535898</v>
      </c>
      <c r="E6" s="6">
        <f>B6/B21</f>
        <v>0.04843814371531131</v>
      </c>
      <c r="F6" s="6">
        <f>C6/C21</f>
        <v>0.06205254984952886</v>
      </c>
    </row>
    <row r="7" spans="1:6" ht="22.5" customHeight="1">
      <c r="A7" s="7" t="s">
        <v>822</v>
      </c>
      <c r="B7" s="5">
        <f>B8+B9</f>
        <v>1272035</v>
      </c>
      <c r="C7" s="5">
        <f>C8+C9</f>
        <v>1414462</v>
      </c>
      <c r="D7" s="294">
        <f t="shared" si="0"/>
        <v>111.19678310738306</v>
      </c>
      <c r="E7" s="6">
        <f>B7/B21</f>
        <v>0.03642272587281282</v>
      </c>
      <c r="F7" s="6">
        <f>C7/C21</f>
        <v>0.04313042411289967</v>
      </c>
    </row>
    <row r="8" spans="1:6" ht="19.5" customHeight="1">
      <c r="A8" s="8" t="s">
        <v>823</v>
      </c>
      <c r="B8" s="5">
        <f>'Z 1'!S38</f>
        <v>1267868</v>
      </c>
      <c r="C8" s="5">
        <f>'Z 1'!T38</f>
        <v>1409112</v>
      </c>
      <c r="D8" s="294">
        <f t="shared" si="0"/>
        <v>111.14027643256239</v>
      </c>
      <c r="E8" s="6">
        <f>B8/B21</f>
        <v>0.036303410367569636</v>
      </c>
      <c r="F8" s="6">
        <f>C8/C21</f>
        <v>0.0429672894588729</v>
      </c>
    </row>
    <row r="9" spans="1:6" ht="21" customHeight="1">
      <c r="A9" s="8" t="s">
        <v>824</v>
      </c>
      <c r="B9" s="5">
        <f>'Z 1'!S37</f>
        <v>4167</v>
      </c>
      <c r="C9" s="5">
        <f>'Z 1'!T37</f>
        <v>5350</v>
      </c>
      <c r="D9" s="294">
        <f t="shared" si="0"/>
        <v>128.38972882169426</v>
      </c>
      <c r="E9" s="6">
        <f>B9/B21</f>
        <v>0.00011931550524318201</v>
      </c>
      <c r="F9" s="6">
        <f>C9/C21</f>
        <v>0.00016313465402677005</v>
      </c>
    </row>
    <row r="10" spans="1:6" ht="27.75" customHeight="1">
      <c r="A10" s="4" t="s">
        <v>825</v>
      </c>
      <c r="B10" s="5">
        <v>815322</v>
      </c>
      <c r="C10" s="5">
        <v>863346</v>
      </c>
      <c r="D10" s="294">
        <f t="shared" si="0"/>
        <v>105.8901881710539</v>
      </c>
      <c r="E10" s="6">
        <f>B10/B21</f>
        <v>0.02334546589054035</v>
      </c>
      <c r="F10" s="6">
        <f>C10/C21</f>
        <v>0.026325542245868378</v>
      </c>
    </row>
    <row r="11" spans="1:6" ht="21.75" customHeight="1">
      <c r="A11" s="7" t="s">
        <v>826</v>
      </c>
      <c r="B11" s="5">
        <v>881742</v>
      </c>
      <c r="C11" s="5">
        <v>1218016</v>
      </c>
      <c r="D11" s="294">
        <f t="shared" si="0"/>
        <v>138.13745971043684</v>
      </c>
      <c r="E11" s="6">
        <f>B11/B21</f>
        <v>0.025247298349924115</v>
      </c>
      <c r="F11" s="6">
        <f>C11/C21</f>
        <v>0.03714030257178885</v>
      </c>
    </row>
    <row r="12" spans="1:6" ht="20.25" customHeight="1">
      <c r="A12" s="7" t="s">
        <v>827</v>
      </c>
      <c r="B12" s="9">
        <f>B11+B10+B7+B6</f>
        <v>4660763</v>
      </c>
      <c r="C12" s="9">
        <f>C11+C10+C7+C6</f>
        <v>5530837</v>
      </c>
      <c r="D12" s="294">
        <f t="shared" si="0"/>
        <v>118.66805928557191</v>
      </c>
      <c r="E12" s="10">
        <f>B12/B21</f>
        <v>0.1334536338285886</v>
      </c>
      <c r="F12" s="10">
        <f>C12/C21</f>
        <v>0.16864881878008575</v>
      </c>
    </row>
    <row r="13" spans="1:6" ht="19.5" customHeight="1">
      <c r="A13" s="7" t="s">
        <v>828</v>
      </c>
      <c r="B13" s="9">
        <f>'Z 1'!S246</f>
        <v>16283554</v>
      </c>
      <c r="C13" s="9">
        <f>'Z 1'!T246</f>
        <v>16269381</v>
      </c>
      <c r="D13" s="294">
        <f t="shared" si="0"/>
        <v>99.91296126140521</v>
      </c>
      <c r="E13" s="10">
        <f>B13/B21</f>
        <v>0.4662540131184635</v>
      </c>
      <c r="F13" s="10">
        <f>C13/C21</f>
        <v>0.4960934281616273</v>
      </c>
    </row>
    <row r="14" spans="1:6" ht="21.75" customHeight="1">
      <c r="A14" s="7" t="s">
        <v>829</v>
      </c>
      <c r="B14" s="9">
        <f>B15+B16+B17+B19+B18</f>
        <v>13979895</v>
      </c>
      <c r="C14" s="9">
        <f>C15+C16+C17+C19+C18</f>
        <v>10994776</v>
      </c>
      <c r="D14" s="294">
        <f t="shared" si="0"/>
        <v>78.64705707732426</v>
      </c>
      <c r="E14" s="10">
        <f>B14/B21</f>
        <v>0.4002923530529479</v>
      </c>
      <c r="F14" s="10">
        <f>C14/C21</f>
        <v>0.33525775305828687</v>
      </c>
    </row>
    <row r="15" spans="1:6" ht="25.5">
      <c r="A15" s="11" t="s">
        <v>162</v>
      </c>
      <c r="B15" s="5">
        <f>'Z 1'!S258</f>
        <v>693250</v>
      </c>
      <c r="C15" s="5">
        <f>'Z 1'!T258</f>
        <v>490000</v>
      </c>
      <c r="D15" s="294">
        <f t="shared" si="0"/>
        <v>70.6815723043635</v>
      </c>
      <c r="E15" s="6">
        <f>B15/B21</f>
        <v>0.019850125752300437</v>
      </c>
      <c r="F15" s="6">
        <f>C15/C21</f>
        <v>0.014941304761330342</v>
      </c>
    </row>
    <row r="16" spans="1:6" ht="51">
      <c r="A16" s="11" t="s">
        <v>214</v>
      </c>
      <c r="B16" s="5">
        <f>'Z 1'!S259</f>
        <v>2920579</v>
      </c>
      <c r="C16" s="5">
        <f>'Z 1'!T259</f>
        <v>3305295</v>
      </c>
      <c r="D16" s="294">
        <f t="shared" si="0"/>
        <v>113.17259351655954</v>
      </c>
      <c r="E16" s="6">
        <f>B16/B21</f>
        <v>0.08362619606134564</v>
      </c>
      <c r="F16" s="6">
        <f>C16/C21</f>
        <v>0.10078657126755382</v>
      </c>
    </row>
    <row r="17" spans="1:6" ht="42.75" customHeight="1">
      <c r="A17" s="11" t="s">
        <v>215</v>
      </c>
      <c r="B17" s="5">
        <f>'Z 1'!S261</f>
        <v>1731169</v>
      </c>
      <c r="C17" s="5">
        <f>'Z 1'!T261</f>
        <v>1338062</v>
      </c>
      <c r="D17" s="294">
        <f t="shared" si="0"/>
        <v>77.29239606300715</v>
      </c>
      <c r="E17" s="6">
        <f>B17/B21</f>
        <v>0.049569307390528956</v>
      </c>
      <c r="F17" s="6">
        <f>C17/C21</f>
        <v>0.04080080026848</v>
      </c>
    </row>
    <row r="18" spans="1:6" ht="33.75" customHeight="1">
      <c r="A18" s="11" t="s">
        <v>217</v>
      </c>
      <c r="B18" s="5">
        <f>'Z 1'!S236</f>
        <v>222058</v>
      </c>
      <c r="C18" s="5">
        <f>'Z 1'!T236</f>
        <v>40000</v>
      </c>
      <c r="D18" s="294">
        <f t="shared" si="0"/>
        <v>18.013311837447873</v>
      </c>
      <c r="E18" s="6">
        <f>B18/B21</f>
        <v>0.006358282328603434</v>
      </c>
      <c r="F18" s="6">
        <f>C18/C21</f>
        <v>0.0012196983478637013</v>
      </c>
    </row>
    <row r="19" spans="1:6" ht="30" customHeight="1">
      <c r="A19" s="12" t="s">
        <v>216</v>
      </c>
      <c r="B19" s="5">
        <f>'Z 1'!S163</f>
        <v>8412839</v>
      </c>
      <c r="C19" s="5">
        <f>'Z 1'!T163</f>
        <v>5821419</v>
      </c>
      <c r="D19" s="294">
        <f t="shared" si="0"/>
        <v>69.19684306332262</v>
      </c>
      <c r="E19" s="6">
        <f>B19/B21</f>
        <v>0.24088844152016944</v>
      </c>
      <c r="F19" s="6">
        <f>C19/C21</f>
        <v>0.17750937841305903</v>
      </c>
    </row>
    <row r="20" spans="1:6" ht="24" customHeight="1">
      <c r="A20" s="7" t="s">
        <v>840</v>
      </c>
      <c r="B20" s="9">
        <f>B13+B14</f>
        <v>30263449</v>
      </c>
      <c r="C20" s="9">
        <f>C13+C14</f>
        <v>27264157</v>
      </c>
      <c r="D20" s="295">
        <f t="shared" si="0"/>
        <v>90.08939133143747</v>
      </c>
      <c r="E20" s="10">
        <f>B20/B21</f>
        <v>0.8665463661714115</v>
      </c>
      <c r="F20" s="10">
        <f>C20/C21</f>
        <v>0.8313511812199142</v>
      </c>
    </row>
    <row r="21" spans="1:6" ht="30" customHeight="1">
      <c r="A21" s="296" t="s">
        <v>841</v>
      </c>
      <c r="B21" s="9">
        <f>B20+B12</f>
        <v>34924212</v>
      </c>
      <c r="C21" s="9">
        <f>C12+C20</f>
        <v>32794994</v>
      </c>
      <c r="D21" s="295">
        <f t="shared" si="0"/>
        <v>93.90331841989735</v>
      </c>
      <c r="E21" s="10">
        <f>B21/B21</f>
        <v>1</v>
      </c>
      <c r="F21" s="10">
        <f>C21/C21</f>
        <v>1</v>
      </c>
    </row>
    <row r="23" ht="12.75">
      <c r="B23" t="s">
        <v>404</v>
      </c>
    </row>
  </sheetData>
  <mergeCells count="7">
    <mergeCell ref="A3:A4"/>
    <mergeCell ref="E1:F1"/>
    <mergeCell ref="A2:F2"/>
    <mergeCell ref="E3:F3"/>
    <mergeCell ref="D3:D4"/>
    <mergeCell ref="C3:C4"/>
    <mergeCell ref="B3:B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B676"/>
  <sheetViews>
    <sheetView zoomScaleSheetLayoutView="75" workbookViewId="0" topLeftCell="L1">
      <selection activeCell="M38" sqref="M38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6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3.75390625" style="0" customWidth="1"/>
    <col min="12" max="12" width="12.375" style="0" customWidth="1"/>
    <col min="13" max="13" width="11.625" style="0" customWidth="1"/>
    <col min="14" max="14" width="10.625" style="0" customWidth="1"/>
    <col min="15" max="15" width="10.375" style="0" customWidth="1"/>
    <col min="16" max="16" width="10.875" style="0" customWidth="1"/>
  </cols>
  <sheetData>
    <row r="1" spans="13:15" ht="17.25" customHeight="1">
      <c r="M1" s="629" t="s">
        <v>123</v>
      </c>
      <c r="N1" s="629"/>
      <c r="O1" s="629"/>
    </row>
    <row r="2" spans="2:22" ht="18.75" customHeight="1" thickBot="1">
      <c r="B2" s="630" t="s">
        <v>993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571"/>
      <c r="Q2" s="571"/>
      <c r="R2" s="571"/>
      <c r="S2" s="571"/>
      <c r="T2" s="571"/>
      <c r="U2" s="571"/>
      <c r="V2" s="571"/>
    </row>
    <row r="3" spans="2:15" ht="19.5" customHeight="1" hidden="1" thickBot="1">
      <c r="B3" s="13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</row>
    <row r="4" spans="1:18" ht="14.25" customHeight="1" thickBot="1">
      <c r="A4" s="649" t="s">
        <v>445</v>
      </c>
      <c r="B4" s="647" t="s">
        <v>446</v>
      </c>
      <c r="C4" s="655" t="s">
        <v>447</v>
      </c>
      <c r="D4" s="276"/>
      <c r="E4" s="276"/>
      <c r="F4" s="276"/>
      <c r="G4" s="276"/>
      <c r="H4" s="655" t="s">
        <v>442</v>
      </c>
      <c r="I4" s="653" t="s">
        <v>249</v>
      </c>
      <c r="J4" s="654"/>
      <c r="K4" s="665" t="s">
        <v>994</v>
      </c>
      <c r="L4" s="655" t="s">
        <v>995</v>
      </c>
      <c r="M4" s="636" t="s">
        <v>452</v>
      </c>
      <c r="N4" s="637"/>
      <c r="O4" s="638"/>
      <c r="P4" s="626" t="s">
        <v>1014</v>
      </c>
      <c r="Q4" s="628" t="s">
        <v>87</v>
      </c>
      <c r="R4" s="628"/>
    </row>
    <row r="5" spans="1:18" ht="9" customHeight="1">
      <c r="A5" s="650"/>
      <c r="B5" s="648"/>
      <c r="C5" s="656"/>
      <c r="D5" s="633" t="s">
        <v>448</v>
      </c>
      <c r="E5" s="631" t="s">
        <v>449</v>
      </c>
      <c r="F5" s="631" t="s">
        <v>450</v>
      </c>
      <c r="G5" s="658" t="s">
        <v>451</v>
      </c>
      <c r="H5" s="656"/>
      <c r="I5" s="635" t="s">
        <v>78</v>
      </c>
      <c r="J5" s="651" t="s">
        <v>79</v>
      </c>
      <c r="K5" s="666"/>
      <c r="L5" s="656"/>
      <c r="M5" s="639"/>
      <c r="N5" s="640"/>
      <c r="O5" s="641"/>
      <c r="P5" s="626"/>
      <c r="Q5" s="628"/>
      <c r="R5" s="628"/>
    </row>
    <row r="6" spans="1:18" ht="6" customHeight="1" thickBot="1">
      <c r="A6" s="650"/>
      <c r="B6" s="648"/>
      <c r="C6" s="656"/>
      <c r="D6" s="634"/>
      <c r="E6" s="631"/>
      <c r="F6" s="631"/>
      <c r="G6" s="658"/>
      <c r="H6" s="656"/>
      <c r="I6" s="664"/>
      <c r="J6" s="652"/>
      <c r="K6" s="666"/>
      <c r="L6" s="656"/>
      <c r="M6" s="642"/>
      <c r="N6" s="643"/>
      <c r="O6" s="644"/>
      <c r="P6" s="626"/>
      <c r="Q6" s="628"/>
      <c r="R6" s="628"/>
    </row>
    <row r="7" spans="1:18" ht="19.5" customHeight="1" thickBot="1">
      <c r="A7" s="650"/>
      <c r="B7" s="648"/>
      <c r="C7" s="656"/>
      <c r="D7" s="635"/>
      <c r="E7" s="632"/>
      <c r="F7" s="632"/>
      <c r="G7" s="659"/>
      <c r="H7" s="656"/>
      <c r="I7" s="664"/>
      <c r="J7" s="652"/>
      <c r="K7" s="667"/>
      <c r="L7" s="662"/>
      <c r="M7" s="312" t="s">
        <v>453</v>
      </c>
      <c r="N7" s="312" t="s">
        <v>454</v>
      </c>
      <c r="O7" s="312" t="s">
        <v>455</v>
      </c>
      <c r="P7" s="627"/>
      <c r="Q7" s="289" t="s">
        <v>463</v>
      </c>
      <c r="R7" s="291" t="s">
        <v>1001</v>
      </c>
    </row>
    <row r="8" spans="1:18" ht="12" customHeight="1" thickBot="1">
      <c r="A8" s="205">
        <v>1</v>
      </c>
      <c r="B8" s="206">
        <v>2</v>
      </c>
      <c r="C8" s="207">
        <v>3</v>
      </c>
      <c r="D8" s="207">
        <v>4</v>
      </c>
      <c r="E8" s="207">
        <v>4</v>
      </c>
      <c r="F8" s="207">
        <v>5</v>
      </c>
      <c r="G8" s="207">
        <v>6</v>
      </c>
      <c r="H8" s="207">
        <v>5</v>
      </c>
      <c r="I8" s="207"/>
      <c r="J8" s="207"/>
      <c r="K8" s="207">
        <v>4</v>
      </c>
      <c r="L8" s="290">
        <v>5</v>
      </c>
      <c r="M8" s="73">
        <v>6</v>
      </c>
      <c r="N8" s="207">
        <v>7</v>
      </c>
      <c r="O8" s="207">
        <v>8</v>
      </c>
      <c r="P8" s="207">
        <v>9</v>
      </c>
      <c r="Q8" s="207">
        <v>10</v>
      </c>
      <c r="R8" s="231">
        <v>11</v>
      </c>
    </row>
    <row r="9" spans="1:18" s="442" customFormat="1" ht="15" customHeight="1">
      <c r="A9" s="438" t="s">
        <v>456</v>
      </c>
      <c r="B9" s="660"/>
      <c r="C9" s="439" t="s">
        <v>458</v>
      </c>
      <c r="D9" s="439">
        <f>D10+D27</f>
        <v>303000</v>
      </c>
      <c r="E9" s="439">
        <f>E10+E27</f>
        <v>373400</v>
      </c>
      <c r="F9" s="439">
        <f>F10+F27</f>
        <v>0</v>
      </c>
      <c r="G9" s="439">
        <f>G10+G27</f>
        <v>0</v>
      </c>
      <c r="H9" s="439">
        <f>H10+H27+H25+H29</f>
        <v>91800</v>
      </c>
      <c r="I9" s="439">
        <f>I10+I27+I25+I29</f>
        <v>0</v>
      </c>
      <c r="J9" s="439">
        <f>J10+J27+J25+J29</f>
        <v>0</v>
      </c>
      <c r="K9" s="439">
        <f>K27+K29</f>
        <v>41700</v>
      </c>
      <c r="L9" s="439">
        <f>L27+L29</f>
        <v>31700</v>
      </c>
      <c r="M9" s="439">
        <f>M27+M29</f>
        <v>30000</v>
      </c>
      <c r="N9" s="439">
        <f>N27+N29</f>
        <v>0</v>
      </c>
      <c r="O9" s="439">
        <f>O27+O29</f>
        <v>1700</v>
      </c>
      <c r="P9" s="440">
        <f>L9/K9</f>
        <v>0.7601918465227818</v>
      </c>
      <c r="Q9" s="440">
        <f aca="true" t="shared" si="0" ref="Q9:Q40">K9/$K$662</f>
        <v>0.0011951001238834484</v>
      </c>
      <c r="R9" s="441">
        <f>L9/$L$662</f>
        <v>0.0009666796207834777</v>
      </c>
    </row>
    <row r="10" spans="1:18" ht="17.25" customHeight="1" hidden="1">
      <c r="A10" s="17" t="s">
        <v>459</v>
      </c>
      <c r="B10" s="661"/>
      <c r="C10" s="7" t="s">
        <v>460</v>
      </c>
      <c r="D10" s="7">
        <f>D13+D14+D15+D16+D24</f>
        <v>303000</v>
      </c>
      <c r="E10" s="7">
        <f>E12+E13+E14+E15+E16+E17+E18+E19+E21+E22+E24+E11</f>
        <v>336000</v>
      </c>
      <c r="F10" s="7">
        <f>F12+F13+F14+F15+F16+F17+F18+F19+F21+F22+F11</f>
        <v>0</v>
      </c>
      <c r="G10" s="7">
        <f>G12+G13+G14+G15+G16+G17+G18+G19+G21+G22+G24+G11</f>
        <v>0</v>
      </c>
      <c r="H10" s="7">
        <f>H12+H13+H14+H15+H16+H17+H18+H19+H21+H22+H24+H11+H20+H23</f>
        <v>45600</v>
      </c>
      <c r="I10" s="7">
        <f>I12+I13+I14+I15+I16+I17+I18+I19+I21+I22+I24+I11+I20+I23</f>
        <v>0</v>
      </c>
      <c r="J10" s="7">
        <f>J12+J13+J14+J15+J16+J17+J18+J19+J21+J22+J24+J11+J20+J23</f>
        <v>0</v>
      </c>
      <c r="K10" s="7">
        <f>K12+K13+K14+K15+K16+K17+K18+K19+K21+K22+K24+K11+K20+K23</f>
        <v>0</v>
      </c>
      <c r="L10" s="7">
        <f>L12+L13+L14+L15+L16+L17+L18+L19+L21+L22+L24+L11+L20+L23</f>
        <v>0</v>
      </c>
      <c r="M10" s="7">
        <f>M11+M12+M13+M14+M15+M16+M17+M18+M19+M21+M22+M24+M23+M20</f>
        <v>0</v>
      </c>
      <c r="N10" s="19">
        <f>N11+N12+N13+N14+N15+N16+N17+N18+N19+N21+N22+N24</f>
        <v>0</v>
      </c>
      <c r="O10" s="19">
        <f>O11+O12+O13+O14+O15+O16+O17+O18+O19+O21+O22+O24</f>
        <v>0</v>
      </c>
      <c r="P10" s="440" t="e">
        <f aca="true" t="shared" si="1" ref="P10:P71">L10/K10</f>
        <v>#DIV/0!</v>
      </c>
      <c r="Q10" s="292">
        <f t="shared" si="0"/>
        <v>0</v>
      </c>
      <c r="R10" s="441">
        <f aca="true" t="shared" si="2" ref="R10:R28">L10/$L$662</f>
        <v>0</v>
      </c>
    </row>
    <row r="11" spans="1:18" ht="12" customHeight="1" hidden="1">
      <c r="A11" s="17"/>
      <c r="B11" s="18" t="s">
        <v>461</v>
      </c>
      <c r="C11" s="20" t="s">
        <v>472</v>
      </c>
      <c r="D11" s="20"/>
      <c r="E11" s="20">
        <v>4100</v>
      </c>
      <c r="F11" s="20">
        <v>0</v>
      </c>
      <c r="G11" s="20">
        <v>0</v>
      </c>
      <c r="H11" s="20"/>
      <c r="I11" s="20"/>
      <c r="J11" s="20"/>
      <c r="K11" s="20"/>
      <c r="L11" s="20"/>
      <c r="M11" s="20"/>
      <c r="N11" s="21"/>
      <c r="O11" s="21"/>
      <c r="P11" s="440" t="e">
        <f t="shared" si="1"/>
        <v>#DIV/0!</v>
      </c>
      <c r="Q11" s="292">
        <f t="shared" si="0"/>
        <v>0</v>
      </c>
      <c r="R11" s="441">
        <f t="shared" si="2"/>
        <v>0</v>
      </c>
    </row>
    <row r="12" spans="1:18" ht="14.25" customHeight="1" hidden="1">
      <c r="A12" s="17"/>
      <c r="B12" s="18" t="s">
        <v>473</v>
      </c>
      <c r="C12" s="22" t="s">
        <v>474</v>
      </c>
      <c r="D12" s="20"/>
      <c r="E12" s="20">
        <v>1760</v>
      </c>
      <c r="F12" s="20">
        <v>0</v>
      </c>
      <c r="G12" s="20">
        <v>0</v>
      </c>
      <c r="H12" s="20"/>
      <c r="I12" s="20"/>
      <c r="J12" s="20"/>
      <c r="K12" s="20"/>
      <c r="L12" s="20"/>
      <c r="M12" s="20"/>
      <c r="N12" s="21"/>
      <c r="O12" s="21"/>
      <c r="P12" s="440" t="e">
        <f t="shared" si="1"/>
        <v>#DIV/0!</v>
      </c>
      <c r="Q12" s="292">
        <f t="shared" si="0"/>
        <v>0</v>
      </c>
      <c r="R12" s="441">
        <f t="shared" si="2"/>
        <v>0</v>
      </c>
    </row>
    <row r="13" spans="1:18" ht="0.75" customHeight="1" hidden="1">
      <c r="A13" s="657"/>
      <c r="B13" s="18" t="s">
        <v>475</v>
      </c>
      <c r="C13" s="11" t="s">
        <v>377</v>
      </c>
      <c r="D13" s="8">
        <v>70035</v>
      </c>
      <c r="E13" s="8">
        <v>72840</v>
      </c>
      <c r="F13" s="8">
        <v>0</v>
      </c>
      <c r="G13" s="8">
        <v>0</v>
      </c>
      <c r="H13" s="8">
        <v>14972</v>
      </c>
      <c r="I13" s="8">
        <v>0</v>
      </c>
      <c r="J13" s="8">
        <v>0</v>
      </c>
      <c r="K13" s="8">
        <v>0</v>
      </c>
      <c r="L13" s="8">
        <v>0</v>
      </c>
      <c r="M13" s="8">
        <f>L13</f>
        <v>0</v>
      </c>
      <c r="N13" s="24">
        <v>0</v>
      </c>
      <c r="O13" s="24">
        <v>0</v>
      </c>
      <c r="P13" s="440" t="e">
        <f t="shared" si="1"/>
        <v>#DIV/0!</v>
      </c>
      <c r="Q13" s="292">
        <f t="shared" si="0"/>
        <v>0</v>
      </c>
      <c r="R13" s="441">
        <f t="shared" si="2"/>
        <v>0</v>
      </c>
    </row>
    <row r="14" spans="1:18" ht="26.25" customHeight="1" hidden="1">
      <c r="A14" s="657"/>
      <c r="B14" s="18" t="s">
        <v>477</v>
      </c>
      <c r="C14" s="11" t="s">
        <v>478</v>
      </c>
      <c r="D14" s="8">
        <v>149465</v>
      </c>
      <c r="E14" s="8">
        <v>158968</v>
      </c>
      <c r="F14" s="8">
        <v>0</v>
      </c>
      <c r="G14" s="8">
        <v>0</v>
      </c>
      <c r="H14" s="8">
        <v>19680</v>
      </c>
      <c r="I14" s="8">
        <v>0</v>
      </c>
      <c r="J14" s="8">
        <v>0</v>
      </c>
      <c r="K14" s="8">
        <v>0</v>
      </c>
      <c r="L14" s="8">
        <v>0</v>
      </c>
      <c r="M14" s="8">
        <f aca="true" t="shared" si="3" ref="M14:M22">L14</f>
        <v>0</v>
      </c>
      <c r="N14" s="24">
        <v>0</v>
      </c>
      <c r="O14" s="24">
        <v>0</v>
      </c>
      <c r="P14" s="440" t="e">
        <f t="shared" si="1"/>
        <v>#DIV/0!</v>
      </c>
      <c r="Q14" s="292">
        <f t="shared" si="0"/>
        <v>0</v>
      </c>
      <c r="R14" s="441">
        <f t="shared" si="2"/>
        <v>0</v>
      </c>
    </row>
    <row r="15" spans="1:18" ht="18" customHeight="1" hidden="1">
      <c r="A15" s="657"/>
      <c r="B15" s="18" t="s">
        <v>479</v>
      </c>
      <c r="C15" s="11" t="s">
        <v>480</v>
      </c>
      <c r="D15" s="8">
        <v>16347</v>
      </c>
      <c r="E15" s="8">
        <v>17570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/>
      <c r="M15" s="8">
        <f t="shared" si="3"/>
        <v>0</v>
      </c>
      <c r="N15" s="24">
        <v>0</v>
      </c>
      <c r="O15" s="24">
        <v>0</v>
      </c>
      <c r="P15" s="440" t="e">
        <f t="shared" si="1"/>
        <v>#DIV/0!</v>
      </c>
      <c r="Q15" s="292">
        <f t="shared" si="0"/>
        <v>0</v>
      </c>
      <c r="R15" s="441">
        <f t="shared" si="2"/>
        <v>0</v>
      </c>
    </row>
    <row r="16" spans="1:18" ht="13.5" customHeight="1" hidden="1">
      <c r="A16" s="657"/>
      <c r="B16" s="25" t="s">
        <v>481</v>
      </c>
      <c r="C16" s="11" t="s">
        <v>482</v>
      </c>
      <c r="D16" s="8">
        <v>45328</v>
      </c>
      <c r="E16" s="8">
        <v>39440</v>
      </c>
      <c r="F16" s="8">
        <v>0</v>
      </c>
      <c r="G16" s="8">
        <v>0</v>
      </c>
      <c r="H16" s="8">
        <v>6303</v>
      </c>
      <c r="I16" s="8">
        <v>0</v>
      </c>
      <c r="J16" s="8">
        <v>0</v>
      </c>
      <c r="K16" s="8">
        <v>0</v>
      </c>
      <c r="L16" s="8">
        <v>0</v>
      </c>
      <c r="M16" s="8">
        <f t="shared" si="3"/>
        <v>0</v>
      </c>
      <c r="N16" s="24">
        <v>0</v>
      </c>
      <c r="O16" s="24">
        <v>0</v>
      </c>
      <c r="P16" s="440" t="e">
        <f t="shared" si="1"/>
        <v>#DIV/0!</v>
      </c>
      <c r="Q16" s="292">
        <f t="shared" si="0"/>
        <v>0</v>
      </c>
      <c r="R16" s="441">
        <f t="shared" si="2"/>
        <v>0</v>
      </c>
    </row>
    <row r="17" spans="1:18" ht="13.5" customHeight="1" hidden="1">
      <c r="A17" s="657"/>
      <c r="B17" s="25" t="s">
        <v>483</v>
      </c>
      <c r="C17" s="11" t="s">
        <v>484</v>
      </c>
      <c r="D17" s="8"/>
      <c r="E17" s="8">
        <v>5404</v>
      </c>
      <c r="F17" s="8">
        <v>0</v>
      </c>
      <c r="G17" s="8">
        <v>0</v>
      </c>
      <c r="H17" s="8">
        <v>849</v>
      </c>
      <c r="I17" s="8">
        <v>0</v>
      </c>
      <c r="J17" s="8">
        <v>0</v>
      </c>
      <c r="K17" s="8">
        <v>0</v>
      </c>
      <c r="L17" s="8">
        <v>0</v>
      </c>
      <c r="M17" s="8">
        <f t="shared" si="3"/>
        <v>0</v>
      </c>
      <c r="N17" s="24">
        <v>0</v>
      </c>
      <c r="O17" s="24">
        <v>0</v>
      </c>
      <c r="P17" s="440" t="e">
        <f t="shared" si="1"/>
        <v>#DIV/0!</v>
      </c>
      <c r="Q17" s="292">
        <f t="shared" si="0"/>
        <v>0</v>
      </c>
      <c r="R17" s="441">
        <f t="shared" si="2"/>
        <v>0</v>
      </c>
    </row>
    <row r="18" spans="1:18" ht="13.5" customHeight="1" hidden="1">
      <c r="A18" s="657"/>
      <c r="B18" s="25" t="s">
        <v>485</v>
      </c>
      <c r="C18" s="11" t="s">
        <v>486</v>
      </c>
      <c r="D18" s="8"/>
      <c r="E18" s="8">
        <v>14688</v>
      </c>
      <c r="F18" s="8">
        <v>0</v>
      </c>
      <c r="G18" s="8">
        <v>0</v>
      </c>
      <c r="H18" s="8">
        <v>2134</v>
      </c>
      <c r="I18" s="8">
        <v>0</v>
      </c>
      <c r="J18" s="8">
        <v>0</v>
      </c>
      <c r="K18" s="8">
        <v>0</v>
      </c>
      <c r="L18" s="8">
        <v>0</v>
      </c>
      <c r="M18" s="8">
        <f t="shared" si="3"/>
        <v>0</v>
      </c>
      <c r="N18" s="24">
        <v>0</v>
      </c>
      <c r="O18" s="24">
        <v>0</v>
      </c>
      <c r="P18" s="440" t="e">
        <f t="shared" si="1"/>
        <v>#DIV/0!</v>
      </c>
      <c r="Q18" s="292">
        <f t="shared" si="0"/>
        <v>0</v>
      </c>
      <c r="R18" s="441">
        <f t="shared" si="2"/>
        <v>0</v>
      </c>
    </row>
    <row r="19" spans="1:18" ht="0.75" customHeight="1" hidden="1">
      <c r="A19" s="657"/>
      <c r="B19" s="25" t="s">
        <v>487</v>
      </c>
      <c r="C19" s="11" t="s">
        <v>488</v>
      </c>
      <c r="D19" s="8"/>
      <c r="E19" s="8">
        <v>950</v>
      </c>
      <c r="F19" s="8">
        <v>0</v>
      </c>
      <c r="G19" s="8">
        <v>0</v>
      </c>
      <c r="H19" s="8">
        <v>714</v>
      </c>
      <c r="I19" s="8">
        <v>0</v>
      </c>
      <c r="J19" s="8">
        <v>0</v>
      </c>
      <c r="K19" s="8">
        <v>0</v>
      </c>
      <c r="L19" s="8">
        <v>0</v>
      </c>
      <c r="M19" s="8">
        <f t="shared" si="3"/>
        <v>0</v>
      </c>
      <c r="N19" s="24">
        <v>0</v>
      </c>
      <c r="O19" s="24">
        <v>0</v>
      </c>
      <c r="P19" s="440" t="e">
        <f t="shared" si="1"/>
        <v>#DIV/0!</v>
      </c>
      <c r="Q19" s="292">
        <f t="shared" si="0"/>
        <v>0</v>
      </c>
      <c r="R19" s="441">
        <f t="shared" si="2"/>
        <v>0</v>
      </c>
    </row>
    <row r="20" spans="1:18" ht="15" customHeight="1" hidden="1">
      <c r="A20" s="657"/>
      <c r="B20" s="25" t="s">
        <v>489</v>
      </c>
      <c r="C20" s="11" t="s">
        <v>490</v>
      </c>
      <c r="D20" s="8"/>
      <c r="E20" s="8"/>
      <c r="F20" s="8"/>
      <c r="G20" s="8"/>
      <c r="H20" s="8">
        <v>0</v>
      </c>
      <c r="I20" s="8">
        <v>0</v>
      </c>
      <c r="J20" s="8">
        <v>0</v>
      </c>
      <c r="K20" s="8">
        <v>0</v>
      </c>
      <c r="L20" s="8"/>
      <c r="M20" s="8">
        <f t="shared" si="3"/>
        <v>0</v>
      </c>
      <c r="N20" s="24">
        <v>0</v>
      </c>
      <c r="O20" s="24">
        <v>0</v>
      </c>
      <c r="P20" s="440" t="e">
        <f t="shared" si="1"/>
        <v>#DIV/0!</v>
      </c>
      <c r="Q20" s="292">
        <f t="shared" si="0"/>
        <v>0</v>
      </c>
      <c r="R20" s="441">
        <f t="shared" si="2"/>
        <v>0</v>
      </c>
    </row>
    <row r="21" spans="1:18" ht="15.75" customHeight="1" hidden="1">
      <c r="A21" s="657"/>
      <c r="B21" s="25" t="s">
        <v>491</v>
      </c>
      <c r="C21" s="11" t="s">
        <v>492</v>
      </c>
      <c r="D21" s="8"/>
      <c r="E21" s="8">
        <v>15626</v>
      </c>
      <c r="F21" s="8">
        <v>0</v>
      </c>
      <c r="G21" s="8">
        <v>0</v>
      </c>
      <c r="H21" s="8">
        <v>779</v>
      </c>
      <c r="I21" s="8">
        <v>0</v>
      </c>
      <c r="J21" s="8">
        <v>0</v>
      </c>
      <c r="K21" s="8">
        <v>0</v>
      </c>
      <c r="L21" s="8">
        <v>0</v>
      </c>
      <c r="M21" s="8">
        <f t="shared" si="3"/>
        <v>0</v>
      </c>
      <c r="N21" s="24">
        <v>0</v>
      </c>
      <c r="O21" s="24">
        <v>0</v>
      </c>
      <c r="P21" s="440" t="e">
        <f t="shared" si="1"/>
        <v>#DIV/0!</v>
      </c>
      <c r="Q21" s="292">
        <f t="shared" si="0"/>
        <v>0</v>
      </c>
      <c r="R21" s="441">
        <f t="shared" si="2"/>
        <v>0</v>
      </c>
    </row>
    <row r="22" spans="1:18" ht="16.5" customHeight="1" hidden="1">
      <c r="A22" s="657"/>
      <c r="B22" s="25" t="s">
        <v>493</v>
      </c>
      <c r="C22" s="11" t="s">
        <v>494</v>
      </c>
      <c r="D22" s="8"/>
      <c r="E22" s="8">
        <v>0</v>
      </c>
      <c r="F22" s="8">
        <v>0</v>
      </c>
      <c r="G22" s="8">
        <v>0</v>
      </c>
      <c r="H22" s="8">
        <v>169</v>
      </c>
      <c r="I22" s="8">
        <v>0</v>
      </c>
      <c r="J22" s="8">
        <v>0</v>
      </c>
      <c r="K22" s="8">
        <v>0</v>
      </c>
      <c r="L22" s="8">
        <v>0</v>
      </c>
      <c r="M22" s="8">
        <f t="shared" si="3"/>
        <v>0</v>
      </c>
      <c r="N22" s="24">
        <v>0</v>
      </c>
      <c r="O22" s="24">
        <v>0</v>
      </c>
      <c r="P22" s="440" t="e">
        <f t="shared" si="1"/>
        <v>#DIV/0!</v>
      </c>
      <c r="Q22" s="292">
        <f t="shared" si="0"/>
        <v>0</v>
      </c>
      <c r="R22" s="441">
        <f t="shared" si="2"/>
        <v>0</v>
      </c>
    </row>
    <row r="23" spans="1:18" ht="16.5" customHeight="1" hidden="1">
      <c r="A23" s="657"/>
      <c r="B23" s="25" t="s">
        <v>495</v>
      </c>
      <c r="C23" s="11" t="s">
        <v>496</v>
      </c>
      <c r="D23" s="8"/>
      <c r="E23" s="8"/>
      <c r="F23" s="8"/>
      <c r="G23" s="8"/>
      <c r="H23" s="8">
        <v>0</v>
      </c>
      <c r="I23" s="8">
        <v>0</v>
      </c>
      <c r="J23" s="8">
        <v>0</v>
      </c>
      <c r="K23" s="8">
        <f>H23+I23-J23</f>
        <v>0</v>
      </c>
      <c r="L23" s="8"/>
      <c r="M23" s="8">
        <f>K23</f>
        <v>0</v>
      </c>
      <c r="N23" s="24">
        <v>0</v>
      </c>
      <c r="O23" s="24">
        <v>0</v>
      </c>
      <c r="P23" s="440" t="e">
        <f t="shared" si="1"/>
        <v>#DIV/0!</v>
      </c>
      <c r="Q23" s="292">
        <f t="shared" si="0"/>
        <v>0</v>
      </c>
      <c r="R23" s="441">
        <f t="shared" si="2"/>
        <v>0</v>
      </c>
    </row>
    <row r="24" spans="1:18" ht="16.5" customHeight="1" hidden="1">
      <c r="A24" s="657"/>
      <c r="B24" s="18" t="s">
        <v>497</v>
      </c>
      <c r="C24" s="8" t="s">
        <v>498</v>
      </c>
      <c r="D24" s="8">
        <v>21825</v>
      </c>
      <c r="E24" s="8">
        <v>4654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f>H24+I24-J24</f>
        <v>0</v>
      </c>
      <c r="L24" s="8"/>
      <c r="M24" s="8">
        <f>K24</f>
        <v>0</v>
      </c>
      <c r="N24" s="24">
        <v>0</v>
      </c>
      <c r="O24" s="24">
        <v>0</v>
      </c>
      <c r="P24" s="440" t="e">
        <f t="shared" si="1"/>
        <v>#DIV/0!</v>
      </c>
      <c r="Q24" s="292">
        <f t="shared" si="0"/>
        <v>0</v>
      </c>
      <c r="R24" s="441">
        <f t="shared" si="2"/>
        <v>0</v>
      </c>
    </row>
    <row r="25" spans="1:18" ht="27.75" customHeight="1" hidden="1">
      <c r="A25" s="26" t="s">
        <v>282</v>
      </c>
      <c r="B25" s="27"/>
      <c r="C25" s="4" t="s">
        <v>283</v>
      </c>
      <c r="D25" s="7"/>
      <c r="E25" s="7"/>
      <c r="F25" s="7"/>
      <c r="G25" s="7"/>
      <c r="H25" s="7">
        <f aca="true" t="shared" si="4" ref="H25:O25">H26</f>
        <v>0</v>
      </c>
      <c r="I25" s="7">
        <f t="shared" si="4"/>
        <v>0</v>
      </c>
      <c r="J25" s="7">
        <f t="shared" si="4"/>
        <v>0</v>
      </c>
      <c r="K25" s="7">
        <f t="shared" si="4"/>
        <v>0</v>
      </c>
      <c r="L25" s="7"/>
      <c r="M25" s="7">
        <f t="shared" si="4"/>
        <v>0</v>
      </c>
      <c r="N25" s="7">
        <f t="shared" si="4"/>
        <v>0</v>
      </c>
      <c r="O25" s="7">
        <f t="shared" si="4"/>
        <v>0</v>
      </c>
      <c r="P25" s="440" t="e">
        <f t="shared" si="1"/>
        <v>#DIV/0!</v>
      </c>
      <c r="Q25" s="292">
        <f t="shared" si="0"/>
        <v>0</v>
      </c>
      <c r="R25" s="441">
        <f t="shared" si="2"/>
        <v>0</v>
      </c>
    </row>
    <row r="26" spans="1:18" ht="18.75" customHeight="1" hidden="1">
      <c r="A26" s="26"/>
      <c r="B26" s="31" t="s">
        <v>485</v>
      </c>
      <c r="C26" s="29" t="s">
        <v>486</v>
      </c>
      <c r="D26" s="20"/>
      <c r="E26" s="20"/>
      <c r="F26" s="20"/>
      <c r="G26" s="20"/>
      <c r="H26" s="20">
        <v>0</v>
      </c>
      <c r="I26" s="20">
        <v>0</v>
      </c>
      <c r="J26" s="20">
        <v>0</v>
      </c>
      <c r="K26" s="20">
        <v>0</v>
      </c>
      <c r="L26" s="20"/>
      <c r="M26" s="20">
        <f>K26</f>
        <v>0</v>
      </c>
      <c r="N26" s="24">
        <v>0</v>
      </c>
      <c r="O26" s="24">
        <v>0</v>
      </c>
      <c r="P26" s="440" t="e">
        <f t="shared" si="1"/>
        <v>#DIV/0!</v>
      </c>
      <c r="Q26" s="292">
        <f t="shared" si="0"/>
        <v>0</v>
      </c>
      <c r="R26" s="441">
        <f t="shared" si="2"/>
        <v>0</v>
      </c>
    </row>
    <row r="27" spans="1:18" ht="21" customHeight="1">
      <c r="A27" s="519" t="s">
        <v>499</v>
      </c>
      <c r="B27" s="540"/>
      <c r="C27" s="541" t="s">
        <v>59</v>
      </c>
      <c r="D27" s="430">
        <f aca="true" t="shared" si="5" ref="D27:O27">D28</f>
        <v>0</v>
      </c>
      <c r="E27" s="430">
        <f t="shared" si="5"/>
        <v>37400</v>
      </c>
      <c r="F27" s="430">
        <f t="shared" si="5"/>
        <v>0</v>
      </c>
      <c r="G27" s="430">
        <f t="shared" si="5"/>
        <v>0</v>
      </c>
      <c r="H27" s="430">
        <f t="shared" si="5"/>
        <v>45000</v>
      </c>
      <c r="I27" s="430">
        <f t="shared" si="5"/>
        <v>0</v>
      </c>
      <c r="J27" s="430">
        <f t="shared" si="5"/>
        <v>0</v>
      </c>
      <c r="K27" s="430">
        <f>K28</f>
        <v>40000</v>
      </c>
      <c r="L27" s="430">
        <f t="shared" si="5"/>
        <v>30000</v>
      </c>
      <c r="M27" s="430">
        <f t="shared" si="5"/>
        <v>30000</v>
      </c>
      <c r="N27" s="423">
        <f t="shared" si="5"/>
        <v>0</v>
      </c>
      <c r="O27" s="423">
        <f t="shared" si="5"/>
        <v>0</v>
      </c>
      <c r="P27" s="542">
        <f t="shared" si="1"/>
        <v>0.75</v>
      </c>
      <c r="Q27" s="542">
        <f t="shared" si="0"/>
        <v>0.001146379015715538</v>
      </c>
      <c r="R27" s="543">
        <f t="shared" si="2"/>
        <v>0.0009148387578392533</v>
      </c>
    </row>
    <row r="28" spans="1:18" ht="15.75" customHeight="1">
      <c r="A28" s="23"/>
      <c r="B28" s="18" t="s">
        <v>491</v>
      </c>
      <c r="C28" s="11" t="s">
        <v>492</v>
      </c>
      <c r="D28" s="8">
        <v>0</v>
      </c>
      <c r="E28" s="8">
        <v>37400</v>
      </c>
      <c r="F28" s="8">
        <v>0</v>
      </c>
      <c r="G28" s="8">
        <v>0</v>
      </c>
      <c r="H28" s="8">
        <v>45000</v>
      </c>
      <c r="I28" s="8">
        <v>0</v>
      </c>
      <c r="J28" s="8">
        <v>0</v>
      </c>
      <c r="K28" s="8">
        <v>40000</v>
      </c>
      <c r="L28" s="8">
        <v>30000</v>
      </c>
      <c r="M28" s="8">
        <f>L28</f>
        <v>30000</v>
      </c>
      <c r="N28" s="24">
        <v>0</v>
      </c>
      <c r="O28" s="24">
        <v>0</v>
      </c>
      <c r="P28" s="454">
        <f t="shared" si="1"/>
        <v>0.75</v>
      </c>
      <c r="Q28" s="292">
        <f t="shared" si="0"/>
        <v>0.001146379015715538</v>
      </c>
      <c r="R28" s="453">
        <f t="shared" si="2"/>
        <v>0.0009148387578392533</v>
      </c>
    </row>
    <row r="29" spans="1:18" ht="15.75" customHeight="1">
      <c r="A29" s="519" t="s">
        <v>97</v>
      </c>
      <c r="B29" s="540"/>
      <c r="C29" s="518" t="s">
        <v>556</v>
      </c>
      <c r="D29" s="430"/>
      <c r="E29" s="430"/>
      <c r="F29" s="430"/>
      <c r="G29" s="430"/>
      <c r="H29" s="430">
        <f aca="true" t="shared" si="6" ref="H29:O29">H30</f>
        <v>1200</v>
      </c>
      <c r="I29" s="430">
        <f t="shared" si="6"/>
        <v>0</v>
      </c>
      <c r="J29" s="430">
        <f t="shared" si="6"/>
        <v>0</v>
      </c>
      <c r="K29" s="430">
        <f t="shared" si="6"/>
        <v>1700</v>
      </c>
      <c r="L29" s="430">
        <f t="shared" si="6"/>
        <v>1700</v>
      </c>
      <c r="M29" s="430">
        <f t="shared" si="6"/>
        <v>0</v>
      </c>
      <c r="N29" s="430">
        <f t="shared" si="6"/>
        <v>0</v>
      </c>
      <c r="O29" s="430">
        <f t="shared" si="6"/>
        <v>1700</v>
      </c>
      <c r="P29" s="542">
        <f t="shared" si="1"/>
        <v>1</v>
      </c>
      <c r="Q29" s="542">
        <f t="shared" si="0"/>
        <v>4.872110816791036E-05</v>
      </c>
      <c r="R29" s="543">
        <f aca="true" t="shared" si="7" ref="R29:R74">L29/$L$662</f>
        <v>5.184086294422436E-05</v>
      </c>
    </row>
    <row r="30" spans="1:18" ht="24" customHeight="1">
      <c r="A30" s="23"/>
      <c r="B30" s="18" t="s">
        <v>538</v>
      </c>
      <c r="C30" s="11" t="s">
        <v>371</v>
      </c>
      <c r="D30" s="8"/>
      <c r="E30" s="8"/>
      <c r="F30" s="8"/>
      <c r="G30" s="8"/>
      <c r="H30" s="8">
        <v>1200</v>
      </c>
      <c r="I30" s="8">
        <v>0</v>
      </c>
      <c r="J30" s="8">
        <v>0</v>
      </c>
      <c r="K30" s="8">
        <v>1700</v>
      </c>
      <c r="L30" s="8">
        <v>1700</v>
      </c>
      <c r="M30" s="8">
        <v>0</v>
      </c>
      <c r="N30" s="24">
        <v>0</v>
      </c>
      <c r="O30" s="24">
        <f>L30</f>
        <v>1700</v>
      </c>
      <c r="P30" s="454">
        <f t="shared" si="1"/>
        <v>1</v>
      </c>
      <c r="Q30" s="292">
        <f t="shared" si="0"/>
        <v>4.872110816791036E-05</v>
      </c>
      <c r="R30" s="293">
        <f t="shared" si="7"/>
        <v>5.184086294422436E-05</v>
      </c>
    </row>
    <row r="31" spans="1:18" s="442" customFormat="1" ht="15" customHeight="1">
      <c r="A31" s="443" t="s">
        <v>500</v>
      </c>
      <c r="B31" s="661"/>
      <c r="C31" s="444" t="s">
        <v>501</v>
      </c>
      <c r="D31" s="444">
        <f aca="true" t="shared" si="8" ref="D31:G32">D32</f>
        <v>29992</v>
      </c>
      <c r="E31" s="444">
        <f t="shared" si="8"/>
        <v>21000</v>
      </c>
      <c r="F31" s="444">
        <f t="shared" si="8"/>
        <v>0</v>
      </c>
      <c r="G31" s="444">
        <f t="shared" si="8"/>
        <v>0</v>
      </c>
      <c r="H31" s="444">
        <f aca="true" t="shared" si="9" ref="H31:O31">H32+H34</f>
        <v>94025</v>
      </c>
      <c r="I31" s="444">
        <f t="shared" si="9"/>
        <v>0</v>
      </c>
      <c r="J31" s="444">
        <f t="shared" si="9"/>
        <v>0</v>
      </c>
      <c r="K31" s="444">
        <f t="shared" si="9"/>
        <v>149148</v>
      </c>
      <c r="L31" s="444">
        <f t="shared" si="9"/>
        <v>153909</v>
      </c>
      <c r="M31" s="444">
        <f t="shared" si="9"/>
        <v>0</v>
      </c>
      <c r="N31" s="444">
        <f t="shared" si="9"/>
        <v>153909</v>
      </c>
      <c r="O31" s="444">
        <f t="shared" si="9"/>
        <v>0</v>
      </c>
      <c r="P31" s="440">
        <f t="shared" si="1"/>
        <v>1.0319213130581704</v>
      </c>
      <c r="Q31" s="440">
        <f t="shared" si="0"/>
        <v>0.004274503435898526</v>
      </c>
      <c r="R31" s="441">
        <f t="shared" si="7"/>
        <v>0.004693397279342721</v>
      </c>
    </row>
    <row r="32" spans="1:18" ht="13.5" customHeight="1">
      <c r="A32" s="17" t="s">
        <v>288</v>
      </c>
      <c r="B32" s="661"/>
      <c r="C32" s="7" t="s">
        <v>287</v>
      </c>
      <c r="D32" s="7">
        <f t="shared" si="8"/>
        <v>29992</v>
      </c>
      <c r="E32" s="7">
        <f t="shared" si="8"/>
        <v>21000</v>
      </c>
      <c r="F32" s="7">
        <f t="shared" si="8"/>
        <v>0</v>
      </c>
      <c r="G32" s="7">
        <f t="shared" si="8"/>
        <v>0</v>
      </c>
      <c r="H32" s="7">
        <f aca="true" t="shared" si="10" ref="H32:N32">H33</f>
        <v>83025</v>
      </c>
      <c r="I32" s="7">
        <f t="shared" si="10"/>
        <v>0</v>
      </c>
      <c r="J32" s="7">
        <f t="shared" si="10"/>
        <v>0</v>
      </c>
      <c r="K32" s="7">
        <f t="shared" si="10"/>
        <v>137048</v>
      </c>
      <c r="L32" s="7">
        <f t="shared" si="10"/>
        <v>141159</v>
      </c>
      <c r="M32" s="7">
        <f t="shared" si="10"/>
        <v>0</v>
      </c>
      <c r="N32" s="19">
        <f t="shared" si="10"/>
        <v>141159</v>
      </c>
      <c r="O32" s="19">
        <f>O33</f>
        <v>0</v>
      </c>
      <c r="P32" s="454">
        <f t="shared" si="1"/>
        <v>1.0299967894460336</v>
      </c>
      <c r="Q32" s="292">
        <f t="shared" si="0"/>
        <v>0.0039277237836445765</v>
      </c>
      <c r="R32" s="293">
        <f t="shared" si="7"/>
        <v>0.004304590807261039</v>
      </c>
    </row>
    <row r="33" spans="1:18" ht="16.5" customHeight="1">
      <c r="A33" s="28"/>
      <c r="B33" s="18" t="s">
        <v>473</v>
      </c>
      <c r="C33" s="8" t="s">
        <v>542</v>
      </c>
      <c r="D33" s="8">
        <v>29992</v>
      </c>
      <c r="E33" s="8">
        <v>21000</v>
      </c>
      <c r="F33" s="8">
        <v>0</v>
      </c>
      <c r="G33" s="8">
        <v>0</v>
      </c>
      <c r="H33" s="8">
        <v>83025</v>
      </c>
      <c r="I33" s="8">
        <v>0</v>
      </c>
      <c r="J33" s="8">
        <v>0</v>
      </c>
      <c r="K33" s="8">
        <v>137048</v>
      </c>
      <c r="L33" s="8">
        <v>141159</v>
      </c>
      <c r="M33" s="8">
        <v>0</v>
      </c>
      <c r="N33" s="24">
        <f>L33</f>
        <v>141159</v>
      </c>
      <c r="O33" s="24">
        <v>0</v>
      </c>
      <c r="P33" s="454">
        <f t="shared" si="1"/>
        <v>1.0299967894460336</v>
      </c>
      <c r="Q33" s="292">
        <f t="shared" si="0"/>
        <v>0.0039277237836445765</v>
      </c>
      <c r="R33" s="293">
        <f t="shared" si="7"/>
        <v>0.004304590807261039</v>
      </c>
    </row>
    <row r="34" spans="1:18" ht="16.5" customHeight="1">
      <c r="A34" s="17" t="s">
        <v>502</v>
      </c>
      <c r="B34" s="18"/>
      <c r="C34" s="7" t="s">
        <v>503</v>
      </c>
      <c r="D34" s="8"/>
      <c r="E34" s="8"/>
      <c r="F34" s="8"/>
      <c r="G34" s="8"/>
      <c r="H34" s="7">
        <f aca="true" t="shared" si="11" ref="H34:O34">H36+H35</f>
        <v>11000</v>
      </c>
      <c r="I34" s="7">
        <f t="shared" si="11"/>
        <v>0</v>
      </c>
      <c r="J34" s="7">
        <f t="shared" si="11"/>
        <v>0</v>
      </c>
      <c r="K34" s="7">
        <f>SUM(K35:K36)</f>
        <v>12100</v>
      </c>
      <c r="L34" s="7">
        <f t="shared" si="11"/>
        <v>12750</v>
      </c>
      <c r="M34" s="7">
        <f t="shared" si="11"/>
        <v>0</v>
      </c>
      <c r="N34" s="7">
        <f t="shared" si="11"/>
        <v>12750</v>
      </c>
      <c r="O34" s="7">
        <f t="shared" si="11"/>
        <v>0</v>
      </c>
      <c r="P34" s="454">
        <f t="shared" si="1"/>
        <v>1.0537190082644627</v>
      </c>
      <c r="Q34" s="292">
        <f t="shared" si="0"/>
        <v>0.00034677965225395025</v>
      </c>
      <c r="R34" s="293">
        <f t="shared" si="7"/>
        <v>0.00038880647208168267</v>
      </c>
    </row>
    <row r="35" spans="1:18" ht="16.5" customHeight="1">
      <c r="A35" s="17"/>
      <c r="B35" s="18" t="s">
        <v>485</v>
      </c>
      <c r="C35" s="20" t="s">
        <v>486</v>
      </c>
      <c r="D35" s="20"/>
      <c r="E35" s="20"/>
      <c r="F35" s="20"/>
      <c r="G35" s="20"/>
      <c r="H35" s="20">
        <v>942</v>
      </c>
      <c r="I35" s="8">
        <v>0</v>
      </c>
      <c r="J35" s="8">
        <v>0</v>
      </c>
      <c r="K35" s="8">
        <v>500</v>
      </c>
      <c r="L35" s="8">
        <v>0</v>
      </c>
      <c r="M35" s="20">
        <v>0</v>
      </c>
      <c r="N35" s="20">
        <f>L35</f>
        <v>0</v>
      </c>
      <c r="O35" s="20">
        <v>0</v>
      </c>
      <c r="P35" s="454">
        <f t="shared" si="1"/>
        <v>0</v>
      </c>
      <c r="Q35" s="292">
        <f t="shared" si="0"/>
        <v>1.4329737696444225E-05</v>
      </c>
      <c r="R35" s="293">
        <f t="shared" si="7"/>
        <v>0</v>
      </c>
    </row>
    <row r="36" spans="1:18" ht="16.5" customHeight="1">
      <c r="A36" s="28"/>
      <c r="B36" s="18" t="s">
        <v>491</v>
      </c>
      <c r="C36" s="8" t="s">
        <v>492</v>
      </c>
      <c r="D36" s="8"/>
      <c r="E36" s="8"/>
      <c r="F36" s="8"/>
      <c r="G36" s="8"/>
      <c r="H36" s="8">
        <v>10058</v>
      </c>
      <c r="I36" s="8">
        <v>0</v>
      </c>
      <c r="J36" s="8">
        <v>0</v>
      </c>
      <c r="K36" s="8">
        <v>11600</v>
      </c>
      <c r="L36" s="8">
        <v>12750</v>
      </c>
      <c r="M36" s="8">
        <v>0</v>
      </c>
      <c r="N36" s="24">
        <f>L36</f>
        <v>12750</v>
      </c>
      <c r="O36" s="24">
        <v>0</v>
      </c>
      <c r="P36" s="454">
        <f t="shared" si="1"/>
        <v>1.0991379310344827</v>
      </c>
      <c r="Q36" s="292">
        <f t="shared" si="0"/>
        <v>0.000332449914557506</v>
      </c>
      <c r="R36" s="293">
        <f t="shared" si="7"/>
        <v>0.00038880647208168267</v>
      </c>
    </row>
    <row r="37" spans="1:18" s="442" customFormat="1" ht="17.25" customHeight="1">
      <c r="A37" s="443" t="s">
        <v>504</v>
      </c>
      <c r="B37" s="445"/>
      <c r="C37" s="444" t="s">
        <v>505</v>
      </c>
      <c r="D37" s="444" t="e">
        <f aca="true" t="shared" si="12" ref="D37:N37">D38</f>
        <v>#REF!</v>
      </c>
      <c r="E37" s="444" t="e">
        <f t="shared" si="12"/>
        <v>#REF!</v>
      </c>
      <c r="F37" s="444" t="e">
        <f t="shared" si="12"/>
        <v>#REF!</v>
      </c>
      <c r="G37" s="444" t="e">
        <f t="shared" si="12"/>
        <v>#REF!</v>
      </c>
      <c r="H37" s="444" t="e">
        <f t="shared" si="12"/>
        <v>#REF!</v>
      </c>
      <c r="I37" s="444" t="e">
        <f t="shared" si="12"/>
        <v>#REF!</v>
      </c>
      <c r="J37" s="444" t="e">
        <f t="shared" si="12"/>
        <v>#REF!</v>
      </c>
      <c r="K37" s="444">
        <f t="shared" si="12"/>
        <v>7530102</v>
      </c>
      <c r="L37" s="444">
        <f t="shared" si="12"/>
        <v>4087080</v>
      </c>
      <c r="M37" s="444">
        <f t="shared" si="12"/>
        <v>0</v>
      </c>
      <c r="N37" s="446">
        <f t="shared" si="12"/>
        <v>4037080</v>
      </c>
      <c r="O37" s="446">
        <f>O38</f>
        <v>50000</v>
      </c>
      <c r="P37" s="440">
        <f t="shared" si="1"/>
        <v>0.5427655561637811</v>
      </c>
      <c r="Q37" s="440">
        <f t="shared" si="0"/>
        <v>0.2158087729749401</v>
      </c>
      <c r="R37" s="441">
        <f t="shared" si="7"/>
        <v>0.12463397301298851</v>
      </c>
    </row>
    <row r="38" spans="1:18" ht="14.25" customHeight="1">
      <c r="A38" s="17" t="s">
        <v>506</v>
      </c>
      <c r="B38" s="18"/>
      <c r="C38" s="7" t="s">
        <v>507</v>
      </c>
      <c r="D38" s="7" t="e">
        <f>D41+D42+D43+D40+#REF!+D56</f>
        <v>#REF!</v>
      </c>
      <c r="E38" s="7" t="e">
        <f>E41+E42+E43+E44+E40+#REF!+E46+E47+E48+E49+E51+E52+E53+E54+#REF!+E55+E56+E57</f>
        <v>#REF!</v>
      </c>
      <c r="F38" s="7" t="e">
        <f>F41+F42+F43+F44+F40+#REF!+F46+F47+F48+F49+F51+F52+F53+F54+F55+F56+F57+#REF!</f>
        <v>#REF!</v>
      </c>
      <c r="G38" s="7" t="e">
        <f>G41+G42+G43+G44+G40+#REF!+G46+G47+G48+G49+G51+G52+G53+G54+G55+G56+G57+#REF!</f>
        <v>#REF!</v>
      </c>
      <c r="H38" s="7" t="e">
        <f>H41+H42+H43+H44+H40+#REF!+H46+H47+H48+H49+H51+H52+H53+H54+H55+H56+H57+#REF!+H60+H39+#REF!</f>
        <v>#REF!</v>
      </c>
      <c r="I38" s="7" t="e">
        <f>I41+I42+I43+I44+I40+#REF!+I46+I47+I48+I49+I51+I52+I53+I54+I55+I56+I57+#REF!+I60+I39+#REF!</f>
        <v>#REF!</v>
      </c>
      <c r="J38" s="7" t="e">
        <f>J41+J42+J43+J44+J40+#REF!+J46+J47+J48+J49+J51+J52+J53+J54+J55+J56+J57+#REF!+J60+J39+#REF!</f>
        <v>#REF!</v>
      </c>
      <c r="K38" s="7">
        <f>SUM(K39:K60)</f>
        <v>7530102</v>
      </c>
      <c r="L38" s="7">
        <f>SUM(L39:L59)</f>
        <v>4087080</v>
      </c>
      <c r="M38" s="7">
        <f>M41+M42+M43+M44+M45+M40+M46+M47+M48+M49+M50+M51+M52+M53+M54+M55+M58+M59+M60+M39</f>
        <v>0</v>
      </c>
      <c r="N38" s="7">
        <f>N39+N40+N41+N42+N43+N44+N45+N46+N47+N48+N49+N50+N51+N52+N53+N54+N55+N56+N57+N58+N59+N60</f>
        <v>4037080</v>
      </c>
      <c r="O38" s="7">
        <f>O41+O42+O43+O44+O45+O40+O46+O47+O48+O49+O50+O51+O52+O53+O54+O55+O57+O58+O59+O60+O39</f>
        <v>50000</v>
      </c>
      <c r="P38" s="454">
        <f t="shared" si="1"/>
        <v>0.5427655561637811</v>
      </c>
      <c r="Q38" s="292">
        <f t="shared" si="0"/>
        <v>0.2158087729749401</v>
      </c>
      <c r="R38" s="293">
        <f t="shared" si="7"/>
        <v>0.12463397301298851</v>
      </c>
    </row>
    <row r="39" spans="1:18" ht="17.25" customHeight="1">
      <c r="A39" s="23"/>
      <c r="B39" s="18" t="s">
        <v>538</v>
      </c>
      <c r="C39" s="11" t="s">
        <v>539</v>
      </c>
      <c r="D39" s="8"/>
      <c r="E39" s="20"/>
      <c r="F39" s="20"/>
      <c r="G39" s="20"/>
      <c r="H39" s="20">
        <v>40000</v>
      </c>
      <c r="I39" s="8">
        <v>0</v>
      </c>
      <c r="J39" s="8">
        <v>0</v>
      </c>
      <c r="K39" s="8">
        <v>50000</v>
      </c>
      <c r="L39" s="8">
        <v>50000</v>
      </c>
      <c r="M39" s="8">
        <v>0</v>
      </c>
      <c r="N39" s="21">
        <v>0</v>
      </c>
      <c r="O39" s="24">
        <f>L39</f>
        <v>50000</v>
      </c>
      <c r="P39" s="454">
        <f t="shared" si="1"/>
        <v>1</v>
      </c>
      <c r="Q39" s="292">
        <f t="shared" si="0"/>
        <v>0.0014329737696444226</v>
      </c>
      <c r="R39" s="293">
        <f t="shared" si="7"/>
        <v>0.0015247312630654222</v>
      </c>
    </row>
    <row r="40" spans="1:18" s="434" customFormat="1" ht="15.75" customHeight="1">
      <c r="A40" s="23"/>
      <c r="B40" s="18" t="s">
        <v>461</v>
      </c>
      <c r="C40" s="432" t="s">
        <v>511</v>
      </c>
      <c r="D40" s="432">
        <v>1296250</v>
      </c>
      <c r="E40" s="161">
        <v>4000</v>
      </c>
      <c r="F40" s="161">
        <v>0</v>
      </c>
      <c r="G40" s="161">
        <v>0</v>
      </c>
      <c r="H40" s="161">
        <v>6000</v>
      </c>
      <c r="I40" s="432">
        <v>0</v>
      </c>
      <c r="J40" s="432">
        <v>0</v>
      </c>
      <c r="K40" s="432">
        <v>4000</v>
      </c>
      <c r="L40" s="432">
        <v>4000</v>
      </c>
      <c r="M40" s="432">
        <v>0</v>
      </c>
      <c r="N40" s="24">
        <f>L40</f>
        <v>4000</v>
      </c>
      <c r="O40" s="24">
        <v>0</v>
      </c>
      <c r="P40" s="454">
        <f t="shared" si="1"/>
        <v>1</v>
      </c>
      <c r="Q40" s="433">
        <f t="shared" si="0"/>
        <v>0.0001146379015715538</v>
      </c>
      <c r="R40" s="293">
        <f t="shared" si="7"/>
        <v>0.00012197850104523378</v>
      </c>
    </row>
    <row r="41" spans="1:18" ht="25.5" customHeight="1">
      <c r="A41" s="23"/>
      <c r="B41" s="18" t="s">
        <v>475</v>
      </c>
      <c r="C41" s="11" t="s">
        <v>476</v>
      </c>
      <c r="D41" s="8">
        <v>580000</v>
      </c>
      <c r="E41" s="8">
        <v>599500</v>
      </c>
      <c r="F41" s="8">
        <v>0</v>
      </c>
      <c r="G41" s="8">
        <v>0</v>
      </c>
      <c r="H41" s="8">
        <v>356415</v>
      </c>
      <c r="I41" s="8">
        <v>0</v>
      </c>
      <c r="J41" s="8">
        <v>0</v>
      </c>
      <c r="K41" s="8">
        <v>304950</v>
      </c>
      <c r="L41" s="8">
        <v>364907</v>
      </c>
      <c r="M41" s="8">
        <v>0</v>
      </c>
      <c r="N41" s="24">
        <f>L41</f>
        <v>364907</v>
      </c>
      <c r="O41" s="24">
        <v>0</v>
      </c>
      <c r="P41" s="454">
        <f t="shared" si="1"/>
        <v>1.196612559435973</v>
      </c>
      <c r="Q41" s="292">
        <f aca="true" t="shared" si="13" ref="Q41:Q69">K41/$K$662</f>
        <v>0.008739707021061333</v>
      </c>
      <c r="R41" s="293">
        <f t="shared" si="7"/>
        <v>0.01112770222022828</v>
      </c>
    </row>
    <row r="42" spans="1:18" ht="15.75" customHeight="1">
      <c r="A42" s="23"/>
      <c r="B42" s="18" t="s">
        <v>479</v>
      </c>
      <c r="C42" s="11" t="s">
        <v>480</v>
      </c>
      <c r="D42" s="8">
        <v>37980</v>
      </c>
      <c r="E42" s="8">
        <v>46300</v>
      </c>
      <c r="F42" s="8">
        <v>0</v>
      </c>
      <c r="G42" s="8">
        <v>41</v>
      </c>
      <c r="H42" s="8">
        <v>33240</v>
      </c>
      <c r="I42" s="8">
        <v>0</v>
      </c>
      <c r="J42" s="8">
        <v>0</v>
      </c>
      <c r="K42" s="8">
        <v>28244</v>
      </c>
      <c r="L42" s="8">
        <v>27054</v>
      </c>
      <c r="M42" s="8">
        <v>0</v>
      </c>
      <c r="N42" s="24">
        <f aca="true" t="shared" si="14" ref="N42:N56">L42</f>
        <v>27054</v>
      </c>
      <c r="O42" s="24">
        <v>0</v>
      </c>
      <c r="P42" s="454">
        <f t="shared" si="1"/>
        <v>0.9578671576263985</v>
      </c>
      <c r="Q42" s="292">
        <f t="shared" si="13"/>
        <v>0.0008094582229967414</v>
      </c>
      <c r="R42" s="293">
        <f t="shared" si="7"/>
        <v>0.0008250015918194386</v>
      </c>
    </row>
    <row r="43" spans="1:18" ht="15" customHeight="1">
      <c r="A43" s="23"/>
      <c r="B43" s="25" t="s">
        <v>508</v>
      </c>
      <c r="C43" s="11" t="s">
        <v>509</v>
      </c>
      <c r="D43" s="8">
        <v>121770</v>
      </c>
      <c r="E43" s="8">
        <v>110000</v>
      </c>
      <c r="F43" s="8">
        <v>0</v>
      </c>
      <c r="G43" s="8">
        <v>1150</v>
      </c>
      <c r="H43" s="8">
        <v>73348</v>
      </c>
      <c r="I43" s="8">
        <v>0</v>
      </c>
      <c r="J43" s="8">
        <v>0</v>
      </c>
      <c r="K43" s="8">
        <v>58474</v>
      </c>
      <c r="L43" s="8">
        <v>67912</v>
      </c>
      <c r="M43" s="8">
        <v>0</v>
      </c>
      <c r="N43" s="24">
        <f t="shared" si="14"/>
        <v>67912</v>
      </c>
      <c r="O43" s="24">
        <v>0</v>
      </c>
      <c r="P43" s="454">
        <f t="shared" si="1"/>
        <v>1.16140506891952</v>
      </c>
      <c r="Q43" s="292">
        <f t="shared" si="13"/>
        <v>0.0016758341641237592</v>
      </c>
      <c r="R43" s="293">
        <f t="shared" si="7"/>
        <v>0.002070950990745979</v>
      </c>
    </row>
    <row r="44" spans="1:18" ht="14.25" customHeight="1">
      <c r="A44" s="23"/>
      <c r="B44" s="25" t="s">
        <v>483</v>
      </c>
      <c r="C44" s="11" t="s">
        <v>484</v>
      </c>
      <c r="D44" s="8"/>
      <c r="E44" s="8">
        <v>12400</v>
      </c>
      <c r="F44" s="8">
        <v>2500</v>
      </c>
      <c r="G44" s="8">
        <v>0</v>
      </c>
      <c r="H44" s="8">
        <v>10132</v>
      </c>
      <c r="I44" s="8">
        <v>0</v>
      </c>
      <c r="J44" s="8">
        <v>0</v>
      </c>
      <c r="K44" s="8">
        <v>8080</v>
      </c>
      <c r="L44" s="8">
        <v>9385</v>
      </c>
      <c r="M44" s="8">
        <v>0</v>
      </c>
      <c r="N44" s="24">
        <f t="shared" si="14"/>
        <v>9385</v>
      </c>
      <c r="O44" s="24">
        <v>0</v>
      </c>
      <c r="P44" s="454">
        <f t="shared" si="1"/>
        <v>1.161509900990099</v>
      </c>
      <c r="Q44" s="292">
        <f t="shared" si="13"/>
        <v>0.00023156856117453867</v>
      </c>
      <c r="R44" s="293">
        <f t="shared" si="7"/>
        <v>0.00028619205807737977</v>
      </c>
    </row>
    <row r="45" spans="1:18" ht="12.75" customHeight="1">
      <c r="A45" s="23"/>
      <c r="B45" s="25" t="s">
        <v>256</v>
      </c>
      <c r="C45" s="11" t="s">
        <v>257</v>
      </c>
      <c r="D45" s="8"/>
      <c r="E45" s="8"/>
      <c r="F45" s="8"/>
      <c r="G45" s="8"/>
      <c r="H45" s="8"/>
      <c r="I45" s="8"/>
      <c r="J45" s="8"/>
      <c r="K45" s="8">
        <v>5000</v>
      </c>
      <c r="L45" s="8">
        <v>25000</v>
      </c>
      <c r="M45" s="8">
        <v>0</v>
      </c>
      <c r="N45" s="24">
        <f>L45</f>
        <v>25000</v>
      </c>
      <c r="O45" s="24">
        <v>0</v>
      </c>
      <c r="P45" s="454">
        <f t="shared" si="1"/>
        <v>5</v>
      </c>
      <c r="Q45" s="292">
        <f t="shared" si="13"/>
        <v>0.00014329737696444224</v>
      </c>
      <c r="R45" s="293">
        <f t="shared" si="7"/>
        <v>0.0007623656315327111</v>
      </c>
    </row>
    <row r="46" spans="1:18" ht="12.75" customHeight="1">
      <c r="A46" s="23"/>
      <c r="B46" s="18" t="s">
        <v>485</v>
      </c>
      <c r="C46" s="29" t="s">
        <v>512</v>
      </c>
      <c r="D46" s="8"/>
      <c r="E46" s="20">
        <v>130378</v>
      </c>
      <c r="F46" s="20">
        <v>40000</v>
      </c>
      <c r="G46" s="20">
        <v>0</v>
      </c>
      <c r="H46" s="20">
        <v>140000</v>
      </c>
      <c r="I46" s="8">
        <v>0</v>
      </c>
      <c r="J46" s="8">
        <v>0</v>
      </c>
      <c r="K46" s="8">
        <v>226857</v>
      </c>
      <c r="L46" s="8">
        <v>200260</v>
      </c>
      <c r="M46" s="8">
        <v>0</v>
      </c>
      <c r="N46" s="24">
        <f t="shared" si="14"/>
        <v>200260</v>
      </c>
      <c r="O46" s="24">
        <v>0</v>
      </c>
      <c r="P46" s="454">
        <f t="shared" si="1"/>
        <v>0.8827587422913994</v>
      </c>
      <c r="Q46" s="292">
        <f t="shared" si="13"/>
        <v>0.0065016026092044946</v>
      </c>
      <c r="R46" s="293">
        <f t="shared" si="7"/>
        <v>0.006106853654829629</v>
      </c>
    </row>
    <row r="47" spans="1:18" ht="13.5" customHeight="1">
      <c r="A47" s="23"/>
      <c r="B47" s="18" t="s">
        <v>487</v>
      </c>
      <c r="C47" s="29" t="s">
        <v>488</v>
      </c>
      <c r="D47" s="8"/>
      <c r="E47" s="20">
        <v>33000</v>
      </c>
      <c r="F47" s="20">
        <v>5000</v>
      </c>
      <c r="G47" s="20">
        <v>0</v>
      </c>
      <c r="H47" s="20">
        <v>30000</v>
      </c>
      <c r="I47" s="8">
        <v>0</v>
      </c>
      <c r="J47" s="8">
        <v>0</v>
      </c>
      <c r="K47" s="8">
        <v>30000</v>
      </c>
      <c r="L47" s="8">
        <v>31100</v>
      </c>
      <c r="M47" s="8">
        <v>0</v>
      </c>
      <c r="N47" s="24">
        <f t="shared" si="14"/>
        <v>31100</v>
      </c>
      <c r="O47" s="24">
        <v>0</v>
      </c>
      <c r="P47" s="454">
        <f t="shared" si="1"/>
        <v>1.0366666666666666</v>
      </c>
      <c r="Q47" s="292">
        <f t="shared" si="13"/>
        <v>0.0008597842617866535</v>
      </c>
      <c r="R47" s="293">
        <f t="shared" si="7"/>
        <v>0.0009483828456266926</v>
      </c>
    </row>
    <row r="48" spans="1:18" ht="13.5" customHeight="1">
      <c r="A48" s="23"/>
      <c r="B48" s="18" t="s">
        <v>489</v>
      </c>
      <c r="C48" s="29" t="s">
        <v>490</v>
      </c>
      <c r="D48" s="8"/>
      <c r="E48" s="20">
        <v>613990</v>
      </c>
      <c r="F48" s="20">
        <v>0</v>
      </c>
      <c r="G48" s="20">
        <v>500000</v>
      </c>
      <c r="H48" s="20">
        <v>7000</v>
      </c>
      <c r="I48" s="8">
        <v>0</v>
      </c>
      <c r="J48" s="8">
        <v>0</v>
      </c>
      <c r="K48" s="8">
        <v>90453</v>
      </c>
      <c r="L48" s="8">
        <v>67000</v>
      </c>
      <c r="M48" s="8">
        <v>0</v>
      </c>
      <c r="N48" s="24">
        <f t="shared" si="14"/>
        <v>67000</v>
      </c>
      <c r="O48" s="24">
        <v>0</v>
      </c>
      <c r="P48" s="454">
        <f t="shared" si="1"/>
        <v>0.7407161730401424</v>
      </c>
      <c r="Q48" s="292">
        <f t="shared" si="13"/>
        <v>0.0025923355277129388</v>
      </c>
      <c r="R48" s="293">
        <f t="shared" si="7"/>
        <v>0.0020431398925076657</v>
      </c>
    </row>
    <row r="49" spans="1:18" ht="14.25" customHeight="1">
      <c r="A49" s="23"/>
      <c r="B49" s="18" t="s">
        <v>491</v>
      </c>
      <c r="C49" s="29" t="s">
        <v>492</v>
      </c>
      <c r="D49" s="8"/>
      <c r="E49" s="20">
        <v>828700</v>
      </c>
      <c r="F49" s="20">
        <v>0</v>
      </c>
      <c r="G49" s="20">
        <v>142451</v>
      </c>
      <c r="H49" s="20">
        <v>412661</v>
      </c>
      <c r="I49" s="8">
        <v>0</v>
      </c>
      <c r="J49" s="8">
        <v>0</v>
      </c>
      <c r="K49" s="8">
        <v>332383</v>
      </c>
      <c r="L49" s="8">
        <v>326244</v>
      </c>
      <c r="M49" s="8">
        <v>0</v>
      </c>
      <c r="N49" s="24">
        <f t="shared" si="14"/>
        <v>326244</v>
      </c>
      <c r="O49" s="24">
        <v>0</v>
      </c>
      <c r="P49" s="454">
        <f t="shared" si="1"/>
        <v>0.9815303430079155</v>
      </c>
      <c r="Q49" s="292">
        <f t="shared" si="13"/>
        <v>0.00952592240951444</v>
      </c>
      <c r="R49" s="293">
        <f t="shared" si="7"/>
        <v>0.009948688523750311</v>
      </c>
    </row>
    <row r="50" spans="1:18" ht="14.25" customHeight="1">
      <c r="A50" s="23"/>
      <c r="B50" s="18" t="s">
        <v>258</v>
      </c>
      <c r="C50" s="29" t="s">
        <v>259</v>
      </c>
      <c r="D50" s="8"/>
      <c r="E50" s="20"/>
      <c r="F50" s="20"/>
      <c r="G50" s="20"/>
      <c r="H50" s="20"/>
      <c r="I50" s="8"/>
      <c r="J50" s="8"/>
      <c r="K50" s="8">
        <v>3500</v>
      </c>
      <c r="L50" s="8">
        <v>3700</v>
      </c>
      <c r="M50" s="8">
        <v>0</v>
      </c>
      <c r="N50" s="24">
        <f>L50</f>
        <v>3700</v>
      </c>
      <c r="O50" s="24">
        <v>0</v>
      </c>
      <c r="P50" s="454">
        <f t="shared" si="1"/>
        <v>1.0571428571428572</v>
      </c>
      <c r="Q50" s="292">
        <f t="shared" si="13"/>
        <v>0.00010030816387510957</v>
      </c>
      <c r="R50" s="293">
        <f t="shared" si="7"/>
        <v>0.00011283011346684124</v>
      </c>
    </row>
    <row r="51" spans="1:18" ht="14.25" customHeight="1">
      <c r="A51" s="23"/>
      <c r="B51" s="18" t="s">
        <v>493</v>
      </c>
      <c r="C51" s="29" t="s">
        <v>494</v>
      </c>
      <c r="D51" s="8"/>
      <c r="E51" s="20">
        <v>660</v>
      </c>
      <c r="F51" s="20">
        <v>0</v>
      </c>
      <c r="G51" s="20">
        <v>300</v>
      </c>
      <c r="H51" s="20">
        <v>500</v>
      </c>
      <c r="I51" s="8">
        <v>0</v>
      </c>
      <c r="J51" s="8">
        <v>0</v>
      </c>
      <c r="K51" s="8">
        <v>1000</v>
      </c>
      <c r="L51" s="8">
        <v>1500</v>
      </c>
      <c r="M51" s="8">
        <v>0</v>
      </c>
      <c r="N51" s="24">
        <f t="shared" si="14"/>
        <v>1500</v>
      </c>
      <c r="O51" s="24">
        <v>0</v>
      </c>
      <c r="P51" s="454">
        <f t="shared" si="1"/>
        <v>1.5</v>
      </c>
      <c r="Q51" s="292">
        <f t="shared" si="13"/>
        <v>2.865947539288845E-05</v>
      </c>
      <c r="R51" s="293">
        <f t="shared" si="7"/>
        <v>4.574193789196266E-05</v>
      </c>
    </row>
    <row r="52" spans="1:18" ht="15.75" customHeight="1">
      <c r="A52" s="23"/>
      <c r="B52" s="18" t="s">
        <v>495</v>
      </c>
      <c r="C52" s="29" t="s">
        <v>496</v>
      </c>
      <c r="D52" s="8"/>
      <c r="E52" s="20">
        <v>23000</v>
      </c>
      <c r="F52" s="20">
        <v>500</v>
      </c>
      <c r="G52" s="20">
        <v>0</v>
      </c>
      <c r="H52" s="20">
        <v>15412</v>
      </c>
      <c r="I52" s="8">
        <v>0</v>
      </c>
      <c r="J52" s="8">
        <v>0</v>
      </c>
      <c r="K52" s="8">
        <v>2000</v>
      </c>
      <c r="L52" s="8">
        <v>2000</v>
      </c>
      <c r="M52" s="8">
        <v>0</v>
      </c>
      <c r="N52" s="24">
        <f t="shared" si="14"/>
        <v>2000</v>
      </c>
      <c r="O52" s="24">
        <v>0</v>
      </c>
      <c r="P52" s="454">
        <f t="shared" si="1"/>
        <v>1</v>
      </c>
      <c r="Q52" s="292">
        <f t="shared" si="13"/>
        <v>5.73189507857769E-05</v>
      </c>
      <c r="R52" s="293">
        <f t="shared" si="7"/>
        <v>6.098925052261689E-05</v>
      </c>
    </row>
    <row r="53" spans="1:18" ht="13.5" customHeight="1">
      <c r="A53" s="23"/>
      <c r="B53" s="18" t="s">
        <v>497</v>
      </c>
      <c r="C53" s="29" t="s">
        <v>498</v>
      </c>
      <c r="D53" s="8"/>
      <c r="E53" s="20">
        <v>14893</v>
      </c>
      <c r="F53" s="20">
        <v>0</v>
      </c>
      <c r="G53" s="20">
        <v>0</v>
      </c>
      <c r="H53" s="20">
        <v>13388</v>
      </c>
      <c r="I53" s="8">
        <v>0</v>
      </c>
      <c r="J53" s="8">
        <v>0</v>
      </c>
      <c r="K53" s="8">
        <v>10046</v>
      </c>
      <c r="L53" s="8">
        <v>10913</v>
      </c>
      <c r="M53" s="8">
        <v>0</v>
      </c>
      <c r="N53" s="24">
        <f t="shared" si="14"/>
        <v>10913</v>
      </c>
      <c r="O53" s="24">
        <v>0</v>
      </c>
      <c r="P53" s="454">
        <f t="shared" si="1"/>
        <v>1.0863030061716106</v>
      </c>
      <c r="Q53" s="292">
        <f t="shared" si="13"/>
        <v>0.00028791308979695735</v>
      </c>
      <c r="R53" s="293">
        <f t="shared" si="7"/>
        <v>0.00033278784547665903</v>
      </c>
    </row>
    <row r="54" spans="1:18" ht="16.5" customHeight="1">
      <c r="A54" s="23"/>
      <c r="B54" s="18" t="s">
        <v>513</v>
      </c>
      <c r="C54" s="29" t="s">
        <v>514</v>
      </c>
      <c r="D54" s="8"/>
      <c r="E54" s="20">
        <v>8147</v>
      </c>
      <c r="F54" s="20">
        <v>0</v>
      </c>
      <c r="G54" s="20">
        <v>0</v>
      </c>
      <c r="H54" s="20">
        <v>7500</v>
      </c>
      <c r="I54" s="8">
        <v>0</v>
      </c>
      <c r="J54" s="8">
        <v>0</v>
      </c>
      <c r="K54" s="8">
        <v>9158</v>
      </c>
      <c r="L54" s="8">
        <v>9431</v>
      </c>
      <c r="M54" s="8">
        <v>0</v>
      </c>
      <c r="N54" s="24">
        <f t="shared" si="14"/>
        <v>9431</v>
      </c>
      <c r="O54" s="24">
        <v>0</v>
      </c>
      <c r="P54" s="454">
        <f t="shared" si="1"/>
        <v>1.029810002183883</v>
      </c>
      <c r="Q54" s="292">
        <f t="shared" si="13"/>
        <v>0.0002624634756480724</v>
      </c>
      <c r="R54" s="293">
        <f t="shared" si="7"/>
        <v>0.0002875948108393999</v>
      </c>
    </row>
    <row r="55" spans="1:18" ht="12.75" customHeight="1">
      <c r="A55" s="23"/>
      <c r="B55" s="18" t="s">
        <v>515</v>
      </c>
      <c r="C55" s="11" t="s">
        <v>516</v>
      </c>
      <c r="D55" s="8"/>
      <c r="E55" s="20">
        <v>132020</v>
      </c>
      <c r="F55" s="20">
        <v>700000</v>
      </c>
      <c r="G55" s="20">
        <v>0</v>
      </c>
      <c r="H55" s="20">
        <v>2525825</v>
      </c>
      <c r="I55" s="8">
        <v>0</v>
      </c>
      <c r="J55" s="8">
        <v>0</v>
      </c>
      <c r="K55" s="8">
        <v>3709093</v>
      </c>
      <c r="L55" s="8">
        <v>186000</v>
      </c>
      <c r="M55" s="8">
        <v>0</v>
      </c>
      <c r="N55" s="24">
        <f t="shared" si="14"/>
        <v>186000</v>
      </c>
      <c r="O55" s="24">
        <v>0</v>
      </c>
      <c r="P55" s="454">
        <f t="shared" si="1"/>
        <v>0.05014703055437003</v>
      </c>
      <c r="Q55" s="292">
        <f t="shared" si="13"/>
        <v>0.10630065956343479</v>
      </c>
      <c r="R55" s="293">
        <f t="shared" si="7"/>
        <v>0.00567200029860337</v>
      </c>
    </row>
    <row r="56" spans="1:18" ht="14.25" customHeight="1">
      <c r="A56" s="23"/>
      <c r="B56" s="18" t="s">
        <v>517</v>
      </c>
      <c r="C56" s="11" t="s">
        <v>376</v>
      </c>
      <c r="D56" s="8">
        <v>0</v>
      </c>
      <c r="E56" s="20">
        <v>60000</v>
      </c>
      <c r="F56" s="20">
        <v>0</v>
      </c>
      <c r="G56" s="20">
        <v>3758</v>
      </c>
      <c r="H56" s="20"/>
      <c r="I56" s="8">
        <v>0</v>
      </c>
      <c r="J56" s="8">
        <v>0</v>
      </c>
      <c r="K56" s="8">
        <v>0</v>
      </c>
      <c r="L56" s="8">
        <v>10000</v>
      </c>
      <c r="M56" s="8">
        <v>0</v>
      </c>
      <c r="N56" s="24">
        <f t="shared" si="14"/>
        <v>10000</v>
      </c>
      <c r="O56" s="24">
        <v>0</v>
      </c>
      <c r="P56" s="454">
        <v>0</v>
      </c>
      <c r="Q56" s="292">
        <f t="shared" si="13"/>
        <v>0</v>
      </c>
      <c r="R56" s="293">
        <f t="shared" si="7"/>
        <v>0.0003049462526130844</v>
      </c>
    </row>
    <row r="57" spans="1:18" ht="24" customHeight="1">
      <c r="A57" s="23"/>
      <c r="B57" s="18" t="s">
        <v>518</v>
      </c>
      <c r="C57" s="11" t="s">
        <v>464</v>
      </c>
      <c r="D57" s="8"/>
      <c r="E57" s="20">
        <v>410722</v>
      </c>
      <c r="F57" s="20">
        <v>0</v>
      </c>
      <c r="G57" s="20">
        <v>0</v>
      </c>
      <c r="H57" s="20">
        <v>0</v>
      </c>
      <c r="I57" s="8">
        <v>0</v>
      </c>
      <c r="J57" s="8">
        <v>0</v>
      </c>
      <c r="K57" s="8">
        <v>8880</v>
      </c>
      <c r="L57" s="8">
        <v>0</v>
      </c>
      <c r="M57" s="8">
        <v>0</v>
      </c>
      <c r="N57" s="24">
        <v>0</v>
      </c>
      <c r="O57" s="24">
        <f>L57</f>
        <v>0</v>
      </c>
      <c r="P57" s="454">
        <f t="shared" si="1"/>
        <v>0</v>
      </c>
      <c r="Q57" s="292">
        <f t="shared" si="13"/>
        <v>0.00025449614148884944</v>
      </c>
      <c r="R57" s="293">
        <f t="shared" si="7"/>
        <v>0</v>
      </c>
    </row>
    <row r="58" spans="1:18" ht="15" customHeight="1">
      <c r="A58" s="23"/>
      <c r="B58" s="18" t="s">
        <v>765</v>
      </c>
      <c r="C58" s="11" t="s">
        <v>875</v>
      </c>
      <c r="D58" s="8"/>
      <c r="E58" s="20"/>
      <c r="F58" s="20"/>
      <c r="G58" s="20"/>
      <c r="H58" s="20"/>
      <c r="I58" s="8"/>
      <c r="J58" s="8"/>
      <c r="K58" s="8">
        <v>1954878</v>
      </c>
      <c r="L58" s="8">
        <v>1988005</v>
      </c>
      <c r="M58" s="8">
        <v>0</v>
      </c>
      <c r="N58" s="21">
        <f>L58</f>
        <v>1988005</v>
      </c>
      <c r="O58" s="24">
        <v>0</v>
      </c>
      <c r="P58" s="454">
        <f t="shared" si="1"/>
        <v>1.0169458145214176</v>
      </c>
      <c r="Q58" s="292">
        <f t="shared" si="13"/>
        <v>0.05602577793709899</v>
      </c>
      <c r="R58" s="293">
        <f t="shared" si="7"/>
        <v>0.06062346749260749</v>
      </c>
    </row>
    <row r="59" spans="1:18" ht="16.5" customHeight="1">
      <c r="A59" s="23"/>
      <c r="B59" s="18" t="s">
        <v>988</v>
      </c>
      <c r="C59" s="11" t="s">
        <v>875</v>
      </c>
      <c r="D59" s="8"/>
      <c r="E59" s="20"/>
      <c r="F59" s="20"/>
      <c r="G59" s="20"/>
      <c r="H59" s="20"/>
      <c r="I59" s="8"/>
      <c r="J59" s="8"/>
      <c r="K59" s="8">
        <v>693106</v>
      </c>
      <c r="L59" s="8">
        <v>702669</v>
      </c>
      <c r="M59" s="8">
        <v>0</v>
      </c>
      <c r="N59" s="21">
        <f>L59</f>
        <v>702669</v>
      </c>
      <c r="O59" s="24">
        <v>0</v>
      </c>
      <c r="P59" s="454">
        <f t="shared" si="1"/>
        <v>1.0137973123880042</v>
      </c>
      <c r="Q59" s="292">
        <f t="shared" si="13"/>
        <v>0.01986405435166334</v>
      </c>
      <c r="R59" s="293">
        <f t="shared" si="7"/>
        <v>0.02142762783773834</v>
      </c>
    </row>
    <row r="60" spans="1:18" ht="30" customHeight="1" hidden="1">
      <c r="A60" s="23"/>
      <c r="B60" s="18" t="s">
        <v>393</v>
      </c>
      <c r="C60" s="11" t="s">
        <v>394</v>
      </c>
      <c r="D60" s="8"/>
      <c r="E60" s="20"/>
      <c r="F60" s="20"/>
      <c r="G60" s="20"/>
      <c r="H60" s="20">
        <v>30892</v>
      </c>
      <c r="I60" s="8">
        <v>0</v>
      </c>
      <c r="J60" s="8">
        <v>0</v>
      </c>
      <c r="K60" s="8" t="s">
        <v>330</v>
      </c>
      <c r="L60" s="8">
        <v>0</v>
      </c>
      <c r="M60" s="8">
        <v>0</v>
      </c>
      <c r="N60" s="21">
        <v>0</v>
      </c>
      <c r="O60" s="24">
        <f>L60</f>
        <v>0</v>
      </c>
      <c r="P60" s="454" t="e">
        <f t="shared" si="1"/>
        <v>#VALUE!</v>
      </c>
      <c r="Q60" s="292" t="e">
        <f t="shared" si="13"/>
        <v>#VALUE!</v>
      </c>
      <c r="R60" s="293">
        <f t="shared" si="7"/>
        <v>0</v>
      </c>
    </row>
    <row r="61" spans="1:18" ht="12" customHeight="1" hidden="1">
      <c r="A61" s="26" t="s">
        <v>400</v>
      </c>
      <c r="B61" s="27"/>
      <c r="C61" s="4" t="s">
        <v>401</v>
      </c>
      <c r="D61" s="7"/>
      <c r="E61" s="7"/>
      <c r="F61" s="7"/>
      <c r="G61" s="7"/>
      <c r="H61" s="7">
        <f aca="true" t="shared" si="15" ref="H61:J62">H62</f>
        <v>44390</v>
      </c>
      <c r="I61" s="7">
        <f t="shared" si="15"/>
        <v>0</v>
      </c>
      <c r="J61" s="7">
        <f t="shared" si="15"/>
        <v>0</v>
      </c>
      <c r="K61" s="7">
        <f aca="true" t="shared" si="16" ref="K61:O62">K62</f>
        <v>0</v>
      </c>
      <c r="L61" s="7">
        <f t="shared" si="16"/>
        <v>0</v>
      </c>
      <c r="M61" s="7">
        <f t="shared" si="16"/>
        <v>0</v>
      </c>
      <c r="N61" s="7">
        <f t="shared" si="16"/>
        <v>0</v>
      </c>
      <c r="O61" s="7">
        <f t="shared" si="16"/>
        <v>0</v>
      </c>
      <c r="P61" s="440" t="e">
        <f t="shared" si="1"/>
        <v>#DIV/0!</v>
      </c>
      <c r="Q61" s="292">
        <f t="shared" si="13"/>
        <v>0</v>
      </c>
      <c r="R61" s="293">
        <f t="shared" si="7"/>
        <v>0</v>
      </c>
    </row>
    <row r="62" spans="1:18" ht="0.75" customHeight="1" hidden="1">
      <c r="A62" s="26" t="s">
        <v>402</v>
      </c>
      <c r="B62" s="27"/>
      <c r="C62" s="4" t="s">
        <v>399</v>
      </c>
      <c r="D62" s="7"/>
      <c r="E62" s="7"/>
      <c r="F62" s="7"/>
      <c r="G62" s="7"/>
      <c r="H62" s="7">
        <f t="shared" si="15"/>
        <v>44390</v>
      </c>
      <c r="I62" s="7">
        <v>0</v>
      </c>
      <c r="J62" s="7">
        <v>0</v>
      </c>
      <c r="K62" s="7">
        <f>K63</f>
        <v>0</v>
      </c>
      <c r="L62" s="7">
        <f>L63</f>
        <v>0</v>
      </c>
      <c r="M62" s="7">
        <f t="shared" si="16"/>
        <v>0</v>
      </c>
      <c r="N62" s="7">
        <f t="shared" si="16"/>
        <v>0</v>
      </c>
      <c r="O62" s="7">
        <f t="shared" si="16"/>
        <v>0</v>
      </c>
      <c r="P62" s="440" t="e">
        <f t="shared" si="1"/>
        <v>#DIV/0!</v>
      </c>
      <c r="Q62" s="292">
        <f t="shared" si="13"/>
        <v>0</v>
      </c>
      <c r="R62" s="293">
        <f t="shared" si="7"/>
        <v>0</v>
      </c>
    </row>
    <row r="63" spans="1:18" ht="0.75" customHeight="1" hidden="1">
      <c r="A63" s="23"/>
      <c r="B63" s="18" t="s">
        <v>518</v>
      </c>
      <c r="C63" s="11" t="s">
        <v>403</v>
      </c>
      <c r="D63" s="8"/>
      <c r="E63" s="20"/>
      <c r="F63" s="20"/>
      <c r="G63" s="20"/>
      <c r="H63" s="20">
        <v>44390</v>
      </c>
      <c r="I63" s="20">
        <v>0</v>
      </c>
      <c r="J63" s="20">
        <v>0</v>
      </c>
      <c r="K63" s="8">
        <v>0</v>
      </c>
      <c r="L63" s="8">
        <v>0</v>
      </c>
      <c r="M63" s="8">
        <v>0</v>
      </c>
      <c r="N63" s="21">
        <v>0</v>
      </c>
      <c r="O63" s="24">
        <f>L63</f>
        <v>0</v>
      </c>
      <c r="P63" s="440" t="e">
        <f t="shared" si="1"/>
        <v>#DIV/0!</v>
      </c>
      <c r="Q63" s="292">
        <f t="shared" si="13"/>
        <v>0</v>
      </c>
      <c r="R63" s="293">
        <f t="shared" si="7"/>
        <v>0</v>
      </c>
    </row>
    <row r="64" spans="1:18" s="442" customFormat="1" ht="24.75" customHeight="1">
      <c r="A64" s="443" t="s">
        <v>519</v>
      </c>
      <c r="B64" s="447"/>
      <c r="C64" s="448" t="s">
        <v>520</v>
      </c>
      <c r="D64" s="444">
        <f aca="true" t="shared" si="17" ref="D64:O64">D65</f>
        <v>15000</v>
      </c>
      <c r="E64" s="444">
        <f t="shared" si="17"/>
        <v>37000</v>
      </c>
      <c r="F64" s="444">
        <f t="shared" si="17"/>
        <v>3693</v>
      </c>
      <c r="G64" s="444">
        <f t="shared" si="17"/>
        <v>3693</v>
      </c>
      <c r="H64" s="444">
        <f>H65</f>
        <v>87539</v>
      </c>
      <c r="I64" s="444">
        <f>I65</f>
        <v>0</v>
      </c>
      <c r="J64" s="444">
        <f>J65</f>
        <v>0</v>
      </c>
      <c r="K64" s="444">
        <f>K65</f>
        <v>142465</v>
      </c>
      <c r="L64" s="444">
        <f>L65</f>
        <v>133300</v>
      </c>
      <c r="M64" s="444">
        <f t="shared" si="17"/>
        <v>62000</v>
      </c>
      <c r="N64" s="444">
        <f t="shared" si="17"/>
        <v>71300</v>
      </c>
      <c r="O64" s="446">
        <f t="shared" si="17"/>
        <v>0</v>
      </c>
      <c r="P64" s="440">
        <f t="shared" si="1"/>
        <v>0.9356684097848594</v>
      </c>
      <c r="Q64" s="440">
        <f t="shared" si="13"/>
        <v>0.004082972161847853</v>
      </c>
      <c r="R64" s="441">
        <f t="shared" si="7"/>
        <v>0.004064933547332415</v>
      </c>
    </row>
    <row r="65" spans="1:18" ht="25.5" customHeight="1">
      <c r="A65" s="17" t="s">
        <v>521</v>
      </c>
      <c r="B65" s="18"/>
      <c r="C65" s="4" t="s">
        <v>522</v>
      </c>
      <c r="D65" s="7">
        <f>D68</f>
        <v>15000</v>
      </c>
      <c r="E65" s="7">
        <f>E68+E67</f>
        <v>37000</v>
      </c>
      <c r="F65" s="7">
        <f>F68+F67</f>
        <v>3693</v>
      </c>
      <c r="G65" s="7">
        <f>G68+G67</f>
        <v>3693</v>
      </c>
      <c r="H65" s="7">
        <f>H67+H68+H69+H71+H72+H66+H70</f>
        <v>87539</v>
      </c>
      <c r="I65" s="7">
        <f>I67+I68+I69+I71+I72+I66+I70</f>
        <v>0</v>
      </c>
      <c r="J65" s="7">
        <f>J67+J68+J69+J71+J72+J66+J70</f>
        <v>0</v>
      </c>
      <c r="K65" s="7">
        <f>SUM(K67:K74)</f>
        <v>142465</v>
      </c>
      <c r="L65" s="7">
        <f>SUM(L67:L74)</f>
        <v>133300</v>
      </c>
      <c r="M65" s="7">
        <f>M67+M68+M69+M71+M72+M70+M73</f>
        <v>62000</v>
      </c>
      <c r="N65" s="7">
        <f>N67+N68+N69+N71+N72+N70+N73</f>
        <v>71300</v>
      </c>
      <c r="O65" s="7">
        <f>O67+O68+O69+O71+O72+O70+O73</f>
        <v>0</v>
      </c>
      <c r="P65" s="454">
        <f t="shared" si="1"/>
        <v>0.9356684097848594</v>
      </c>
      <c r="Q65" s="292">
        <f t="shared" si="13"/>
        <v>0.004082972161847853</v>
      </c>
      <c r="R65" s="293">
        <f t="shared" si="7"/>
        <v>0.004064933547332415</v>
      </c>
    </row>
    <row r="66" spans="1:18" ht="16.5" customHeight="1" hidden="1">
      <c r="A66" s="17"/>
      <c r="B66" s="18" t="s">
        <v>485</v>
      </c>
      <c r="C66" s="29" t="s">
        <v>486</v>
      </c>
      <c r="D66" s="20"/>
      <c r="E66" s="20"/>
      <c r="F66" s="20"/>
      <c r="G66" s="20"/>
      <c r="H66" s="20">
        <v>3005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f>L66-M66</f>
        <v>0</v>
      </c>
      <c r="O66" s="7">
        <v>0</v>
      </c>
      <c r="P66" s="454" t="e">
        <f t="shared" si="1"/>
        <v>#DIV/0!</v>
      </c>
      <c r="Q66" s="292">
        <f t="shared" si="13"/>
        <v>0</v>
      </c>
      <c r="R66" s="293">
        <f t="shared" si="7"/>
        <v>0</v>
      </c>
    </row>
    <row r="67" spans="1:18" ht="16.5" customHeight="1">
      <c r="A67" s="17"/>
      <c r="B67" s="18" t="s">
        <v>487</v>
      </c>
      <c r="C67" s="29" t="s">
        <v>488</v>
      </c>
      <c r="D67" s="20"/>
      <c r="E67" s="20">
        <v>20000</v>
      </c>
      <c r="F67" s="20">
        <v>3693</v>
      </c>
      <c r="G67" s="20">
        <v>0</v>
      </c>
      <c r="H67" s="20">
        <v>10601</v>
      </c>
      <c r="I67" s="20">
        <v>0</v>
      </c>
      <c r="J67" s="20">
        <v>0</v>
      </c>
      <c r="K67" s="8">
        <v>3365</v>
      </c>
      <c r="L67" s="8">
        <v>3930</v>
      </c>
      <c r="M67" s="20">
        <v>3930</v>
      </c>
      <c r="N67" s="20">
        <f aca="true" t="shared" si="18" ref="N67:N73">L67-M67</f>
        <v>0</v>
      </c>
      <c r="O67" s="21">
        <v>0</v>
      </c>
      <c r="P67" s="454">
        <f t="shared" si="1"/>
        <v>1.1679049034175335</v>
      </c>
      <c r="Q67" s="292">
        <f t="shared" si="13"/>
        <v>9.643913469706964E-05</v>
      </c>
      <c r="R67" s="293">
        <f t="shared" si="7"/>
        <v>0.00011984387727694218</v>
      </c>
    </row>
    <row r="68" spans="1:18" ht="17.25" customHeight="1">
      <c r="A68" s="28"/>
      <c r="B68" s="18" t="s">
        <v>491</v>
      </c>
      <c r="C68" s="29" t="s">
        <v>492</v>
      </c>
      <c r="D68" s="8">
        <v>15000</v>
      </c>
      <c r="E68" s="20">
        <v>17000</v>
      </c>
      <c r="F68" s="20">
        <v>0</v>
      </c>
      <c r="G68" s="20">
        <v>3693</v>
      </c>
      <c r="H68" s="20">
        <v>65521</v>
      </c>
      <c r="I68" s="20">
        <v>0</v>
      </c>
      <c r="J68" s="20">
        <v>0</v>
      </c>
      <c r="K68" s="8">
        <v>64255</v>
      </c>
      <c r="L68" s="8">
        <v>51970</v>
      </c>
      <c r="M68" s="20">
        <v>42670</v>
      </c>
      <c r="N68" s="20">
        <f t="shared" si="18"/>
        <v>9300</v>
      </c>
      <c r="O68" s="24">
        <v>0</v>
      </c>
      <c r="P68" s="454">
        <f t="shared" si="1"/>
        <v>0.808808653023111</v>
      </c>
      <c r="Q68" s="292">
        <f t="shared" si="13"/>
        <v>0.0018415145913700474</v>
      </c>
      <c r="R68" s="293">
        <f t="shared" si="7"/>
        <v>0.0015848056748301999</v>
      </c>
    </row>
    <row r="69" spans="1:18" ht="17.25" customHeight="1">
      <c r="A69" s="28"/>
      <c r="B69" s="18" t="s">
        <v>495</v>
      </c>
      <c r="C69" s="29" t="s">
        <v>496</v>
      </c>
      <c r="D69" s="8"/>
      <c r="E69" s="20"/>
      <c r="F69" s="20"/>
      <c r="G69" s="20"/>
      <c r="H69" s="20">
        <v>1357</v>
      </c>
      <c r="I69" s="20">
        <v>0</v>
      </c>
      <c r="J69" s="20">
        <v>0</v>
      </c>
      <c r="K69" s="8">
        <v>58118</v>
      </c>
      <c r="L69" s="8">
        <v>60000</v>
      </c>
      <c r="M69" s="20">
        <v>0</v>
      </c>
      <c r="N69" s="20">
        <f t="shared" si="18"/>
        <v>60000</v>
      </c>
      <c r="O69" s="24">
        <v>0</v>
      </c>
      <c r="P69" s="454">
        <f t="shared" si="1"/>
        <v>1.0323823944389001</v>
      </c>
      <c r="Q69" s="292">
        <f t="shared" si="13"/>
        <v>0.001665631390883891</v>
      </c>
      <c r="R69" s="293">
        <f t="shared" si="7"/>
        <v>0.0018296775156785067</v>
      </c>
    </row>
    <row r="70" spans="1:18" ht="17.25" customHeight="1">
      <c r="A70" s="28"/>
      <c r="B70" s="18" t="s">
        <v>513</v>
      </c>
      <c r="C70" s="29" t="s">
        <v>514</v>
      </c>
      <c r="D70" s="8"/>
      <c r="E70" s="20"/>
      <c r="F70" s="20"/>
      <c r="G70" s="20"/>
      <c r="H70" s="20">
        <v>55</v>
      </c>
      <c r="I70" s="20">
        <v>0</v>
      </c>
      <c r="J70" s="20">
        <v>0</v>
      </c>
      <c r="K70" s="8">
        <v>9443</v>
      </c>
      <c r="L70" s="8">
        <v>10100</v>
      </c>
      <c r="M70" s="20">
        <v>9600</v>
      </c>
      <c r="N70" s="20">
        <f t="shared" si="18"/>
        <v>500</v>
      </c>
      <c r="O70" s="24"/>
      <c r="P70" s="454">
        <f t="shared" si="1"/>
        <v>1.0695753468177487</v>
      </c>
      <c r="Q70" s="292">
        <f aca="true" t="shared" si="19" ref="Q70:Q102">K70/$K$662</f>
        <v>0.0002706314261350456</v>
      </c>
      <c r="R70" s="293">
        <f t="shared" si="7"/>
        <v>0.0003079957151392153</v>
      </c>
    </row>
    <row r="71" spans="1:18" ht="17.25" customHeight="1">
      <c r="A71" s="28"/>
      <c r="B71" s="18" t="s">
        <v>560</v>
      </c>
      <c r="C71" s="29" t="s">
        <v>566</v>
      </c>
      <c r="D71" s="8"/>
      <c r="E71" s="20"/>
      <c r="F71" s="20"/>
      <c r="G71" s="20"/>
      <c r="H71" s="20">
        <v>213</v>
      </c>
      <c r="I71" s="20">
        <v>0</v>
      </c>
      <c r="J71" s="20">
        <v>0</v>
      </c>
      <c r="K71" s="8">
        <v>4580</v>
      </c>
      <c r="L71" s="8">
        <v>5000</v>
      </c>
      <c r="M71" s="20">
        <v>5000</v>
      </c>
      <c r="N71" s="20">
        <f t="shared" si="18"/>
        <v>0</v>
      </c>
      <c r="O71" s="24">
        <v>0</v>
      </c>
      <c r="P71" s="454">
        <f t="shared" si="1"/>
        <v>1.091703056768559</v>
      </c>
      <c r="Q71" s="292">
        <f t="shared" si="19"/>
        <v>0.0001312603972994291</v>
      </c>
      <c r="R71" s="293">
        <f t="shared" si="7"/>
        <v>0.0001524731263065422</v>
      </c>
    </row>
    <row r="72" spans="1:18" ht="17.25" customHeight="1">
      <c r="A72" s="28"/>
      <c r="B72" s="18" t="s">
        <v>590</v>
      </c>
      <c r="C72" s="29" t="s">
        <v>983</v>
      </c>
      <c r="D72" s="8"/>
      <c r="E72" s="20"/>
      <c r="F72" s="20"/>
      <c r="G72" s="20"/>
      <c r="H72" s="20">
        <v>6787</v>
      </c>
      <c r="I72" s="20">
        <v>0</v>
      </c>
      <c r="J72" s="20">
        <v>0</v>
      </c>
      <c r="K72" s="8">
        <v>1904</v>
      </c>
      <c r="L72" s="8">
        <v>1500</v>
      </c>
      <c r="M72" s="20">
        <v>0</v>
      </c>
      <c r="N72" s="20">
        <f t="shared" si="18"/>
        <v>1500</v>
      </c>
      <c r="O72" s="24">
        <v>0</v>
      </c>
      <c r="P72" s="454">
        <f aca="true" t="shared" si="20" ref="P72:P134">L72/K72</f>
        <v>0.7878151260504201</v>
      </c>
      <c r="Q72" s="292">
        <f t="shared" si="19"/>
        <v>5.4567641148059605E-05</v>
      </c>
      <c r="R72" s="293">
        <f t="shared" si="7"/>
        <v>4.574193789196266E-05</v>
      </c>
    </row>
    <row r="73" spans="1:18" ht="14.25" customHeight="1">
      <c r="A73" s="28"/>
      <c r="B73" s="18" t="s">
        <v>256</v>
      </c>
      <c r="C73" s="29" t="s">
        <v>974</v>
      </c>
      <c r="D73" s="8"/>
      <c r="E73" s="20"/>
      <c r="F73" s="20"/>
      <c r="G73" s="20"/>
      <c r="H73" s="20"/>
      <c r="I73" s="20"/>
      <c r="J73" s="20"/>
      <c r="K73" s="8">
        <v>800</v>
      </c>
      <c r="L73" s="8">
        <v>800</v>
      </c>
      <c r="M73" s="20">
        <v>800</v>
      </c>
      <c r="N73" s="20">
        <f t="shared" si="18"/>
        <v>0</v>
      </c>
      <c r="O73" s="24"/>
      <c r="P73" s="454">
        <f t="shared" si="20"/>
        <v>1</v>
      </c>
      <c r="Q73" s="292">
        <f t="shared" si="19"/>
        <v>2.2927580314310758E-05</v>
      </c>
      <c r="R73" s="293">
        <f t="shared" si="7"/>
        <v>2.4395700209046757E-05</v>
      </c>
    </row>
    <row r="74" spans="1:18" ht="14.25" customHeight="1" hidden="1">
      <c r="A74" s="28"/>
      <c r="B74" s="18" t="s">
        <v>727</v>
      </c>
      <c r="C74" s="29" t="s">
        <v>764</v>
      </c>
      <c r="D74" s="8"/>
      <c r="E74" s="20"/>
      <c r="F74" s="20"/>
      <c r="G74" s="20"/>
      <c r="H74" s="20"/>
      <c r="I74" s="20"/>
      <c r="J74" s="20"/>
      <c r="K74" s="8" t="s">
        <v>330</v>
      </c>
      <c r="L74" s="8" t="s">
        <v>330</v>
      </c>
      <c r="M74" s="20" t="s">
        <v>465</v>
      </c>
      <c r="N74" s="20"/>
      <c r="O74" s="24"/>
      <c r="P74" s="454" t="e">
        <f t="shared" si="20"/>
        <v>#VALUE!</v>
      </c>
      <c r="Q74" s="292" t="e">
        <f t="shared" si="19"/>
        <v>#VALUE!</v>
      </c>
      <c r="R74" s="293" t="e">
        <f t="shared" si="7"/>
        <v>#VALUE!</v>
      </c>
    </row>
    <row r="75" spans="1:18" s="442" customFormat="1" ht="15" customHeight="1">
      <c r="A75" s="443" t="s">
        <v>524</v>
      </c>
      <c r="B75" s="447"/>
      <c r="C75" s="449" t="s">
        <v>525</v>
      </c>
      <c r="D75" s="444">
        <f aca="true" t="shared" si="21" ref="D75:O75">D76+D78+D80</f>
        <v>170602</v>
      </c>
      <c r="E75" s="444">
        <f t="shared" si="21"/>
        <v>139020</v>
      </c>
      <c r="F75" s="444">
        <f t="shared" si="21"/>
        <v>0</v>
      </c>
      <c r="G75" s="444">
        <f t="shared" si="21"/>
        <v>0</v>
      </c>
      <c r="H75" s="444">
        <f>H76+H78+H80</f>
        <v>137866</v>
      </c>
      <c r="I75" s="444">
        <f>I76+I78+I80</f>
        <v>0</v>
      </c>
      <c r="J75" s="444">
        <f>J76+J78+J80</f>
        <v>0</v>
      </c>
      <c r="K75" s="444">
        <f>K76+K78+K80</f>
        <v>205452</v>
      </c>
      <c r="L75" s="444">
        <f>L76+L78+L80</f>
        <v>243547</v>
      </c>
      <c r="M75" s="444">
        <f t="shared" si="21"/>
        <v>243547</v>
      </c>
      <c r="N75" s="446">
        <f t="shared" si="21"/>
        <v>0</v>
      </c>
      <c r="O75" s="446">
        <f t="shared" si="21"/>
        <v>0</v>
      </c>
      <c r="P75" s="440">
        <f t="shared" si="20"/>
        <v>1.1854204388372953</v>
      </c>
      <c r="Q75" s="440">
        <f t="shared" si="19"/>
        <v>0.005888146538419718</v>
      </c>
      <c r="R75" s="441">
        <f aca="true" t="shared" si="22" ref="R75:R107">L75/$L$662</f>
        <v>0.007426874498515887</v>
      </c>
    </row>
    <row r="76" spans="1:18" ht="24.75" customHeight="1">
      <c r="A76" s="17" t="s">
        <v>526</v>
      </c>
      <c r="B76" s="27"/>
      <c r="C76" s="4" t="s">
        <v>527</v>
      </c>
      <c r="D76" s="7">
        <f aca="true" t="shared" si="23" ref="D76:O76">D77</f>
        <v>79900</v>
      </c>
      <c r="E76" s="7">
        <f t="shared" si="23"/>
        <v>52100</v>
      </c>
      <c r="F76" s="7">
        <f t="shared" si="23"/>
        <v>0</v>
      </c>
      <c r="G76" s="7">
        <f t="shared" si="23"/>
        <v>0</v>
      </c>
      <c r="H76" s="7">
        <f t="shared" si="23"/>
        <v>52000</v>
      </c>
      <c r="I76" s="7">
        <f t="shared" si="23"/>
        <v>0</v>
      </c>
      <c r="J76" s="7">
        <f t="shared" si="23"/>
        <v>0</v>
      </c>
      <c r="K76" s="7">
        <f t="shared" si="23"/>
        <v>42000</v>
      </c>
      <c r="L76" s="7">
        <f t="shared" si="23"/>
        <v>40000</v>
      </c>
      <c r="M76" s="7">
        <f t="shared" si="23"/>
        <v>40000</v>
      </c>
      <c r="N76" s="19">
        <f t="shared" si="23"/>
        <v>0</v>
      </c>
      <c r="O76" s="19">
        <f t="shared" si="23"/>
        <v>0</v>
      </c>
      <c r="P76" s="454">
        <f t="shared" si="20"/>
        <v>0.9523809523809523</v>
      </c>
      <c r="Q76" s="292">
        <f t="shared" si="19"/>
        <v>0.0012036979665013148</v>
      </c>
      <c r="R76" s="293">
        <f t="shared" si="22"/>
        <v>0.0012197850104523377</v>
      </c>
    </row>
    <row r="77" spans="1:18" ht="16.5" customHeight="1">
      <c r="A77" s="28"/>
      <c r="B77" s="18" t="s">
        <v>491</v>
      </c>
      <c r="C77" s="29" t="s">
        <v>492</v>
      </c>
      <c r="D77" s="8">
        <v>79900</v>
      </c>
      <c r="E77" s="20">
        <v>52100</v>
      </c>
      <c r="F77" s="20">
        <v>0</v>
      </c>
      <c r="G77" s="20">
        <v>0</v>
      </c>
      <c r="H77" s="20">
        <v>52000</v>
      </c>
      <c r="I77" s="20">
        <v>0</v>
      </c>
      <c r="J77" s="20">
        <v>0</v>
      </c>
      <c r="K77" s="8">
        <v>42000</v>
      </c>
      <c r="L77" s="8">
        <v>40000</v>
      </c>
      <c r="M77" s="20">
        <f>L77</f>
        <v>40000</v>
      </c>
      <c r="N77" s="24">
        <v>0</v>
      </c>
      <c r="O77" s="24">
        <v>0</v>
      </c>
      <c r="P77" s="454">
        <f t="shared" si="20"/>
        <v>0.9523809523809523</v>
      </c>
      <c r="Q77" s="292">
        <f t="shared" si="19"/>
        <v>0.0012036979665013148</v>
      </c>
      <c r="R77" s="293">
        <f t="shared" si="22"/>
        <v>0.0012197850104523377</v>
      </c>
    </row>
    <row r="78" spans="1:18" ht="17.25" customHeight="1">
      <c r="A78" s="17" t="s">
        <v>528</v>
      </c>
      <c r="B78" s="27"/>
      <c r="C78" s="4" t="s">
        <v>420</v>
      </c>
      <c r="D78" s="7">
        <f aca="true" t="shared" si="24" ref="D78:O78">D79</f>
        <v>20000</v>
      </c>
      <c r="E78" s="7">
        <f t="shared" si="24"/>
        <v>8000</v>
      </c>
      <c r="F78" s="7">
        <f t="shared" si="24"/>
        <v>0</v>
      </c>
      <c r="G78" s="7">
        <f t="shared" si="24"/>
        <v>0</v>
      </c>
      <c r="H78" s="7">
        <f t="shared" si="24"/>
        <v>4000</v>
      </c>
      <c r="I78" s="7">
        <f t="shared" si="24"/>
        <v>0</v>
      </c>
      <c r="J78" s="7">
        <f t="shared" si="24"/>
        <v>0</v>
      </c>
      <c r="K78" s="7">
        <f t="shared" si="24"/>
        <v>8000</v>
      </c>
      <c r="L78" s="7">
        <f t="shared" si="24"/>
        <v>22000</v>
      </c>
      <c r="M78" s="7">
        <f t="shared" si="24"/>
        <v>22000</v>
      </c>
      <c r="N78" s="19">
        <f t="shared" si="24"/>
        <v>0</v>
      </c>
      <c r="O78" s="19">
        <f t="shared" si="24"/>
        <v>0</v>
      </c>
      <c r="P78" s="454">
        <f t="shared" si="20"/>
        <v>2.75</v>
      </c>
      <c r="Q78" s="292">
        <f t="shared" si="19"/>
        <v>0.0002292758031431076</v>
      </c>
      <c r="R78" s="293">
        <f t="shared" si="22"/>
        <v>0.0006708817557487857</v>
      </c>
    </row>
    <row r="79" spans="1:18" ht="16.5" customHeight="1">
      <c r="A79" s="28"/>
      <c r="B79" s="18" t="s">
        <v>491</v>
      </c>
      <c r="C79" s="29" t="s">
        <v>492</v>
      </c>
      <c r="D79" s="8">
        <v>20000</v>
      </c>
      <c r="E79" s="20">
        <v>8000</v>
      </c>
      <c r="F79" s="20">
        <v>0</v>
      </c>
      <c r="G79" s="20">
        <v>0</v>
      </c>
      <c r="H79" s="20">
        <v>4000</v>
      </c>
      <c r="I79" s="20">
        <v>0</v>
      </c>
      <c r="J79" s="20">
        <v>0</v>
      </c>
      <c r="K79" s="8">
        <v>8000</v>
      </c>
      <c r="L79" s="8">
        <v>22000</v>
      </c>
      <c r="M79" s="20">
        <f>L79</f>
        <v>22000</v>
      </c>
      <c r="N79" s="24">
        <v>0</v>
      </c>
      <c r="O79" s="24">
        <v>0</v>
      </c>
      <c r="P79" s="454">
        <f t="shared" si="20"/>
        <v>2.75</v>
      </c>
      <c r="Q79" s="292">
        <f t="shared" si="19"/>
        <v>0.0002292758031431076</v>
      </c>
      <c r="R79" s="293">
        <f t="shared" si="22"/>
        <v>0.0006708817557487857</v>
      </c>
    </row>
    <row r="80" spans="1:18" ht="15.75" customHeight="1">
      <c r="A80" s="17" t="s">
        <v>530</v>
      </c>
      <c r="B80" s="27"/>
      <c r="C80" s="4" t="s">
        <v>531</v>
      </c>
      <c r="D80" s="7">
        <f>D81+D83+D84+D86</f>
        <v>70702</v>
      </c>
      <c r="E80" s="7">
        <f>E81+E83+E84+E85+E86+E87+E89+E90+E92</f>
        <v>78920</v>
      </c>
      <c r="F80" s="7">
        <f>F81+F83+F84+F85+F86+F87+F89+F90+F92</f>
        <v>0</v>
      </c>
      <c r="G80" s="7">
        <f>G81+G83+G84+G85+G86+G87+G89+G90+G92</f>
        <v>0</v>
      </c>
      <c r="H80" s="7">
        <f>H81+H83+H84+H85+H86+H87+H89+H90+H92+H82</f>
        <v>81866</v>
      </c>
      <c r="I80" s="7">
        <f>I81+I83+I84+I85+I86+I87+I89+I90+I92+I82</f>
        <v>0</v>
      </c>
      <c r="J80" s="7">
        <f>J81+J83+J84+J85+J86+J87+J89+J90+J92+J82</f>
        <v>0</v>
      </c>
      <c r="K80" s="7">
        <f>SUM(K81:K93)</f>
        <v>155452</v>
      </c>
      <c r="L80" s="7">
        <f>SUM(L81:L93)</f>
        <v>181547</v>
      </c>
      <c r="M80" s="7">
        <f>SUM(M81:M93)</f>
        <v>181547</v>
      </c>
      <c r="N80" s="7">
        <f>N81+N83+N84+N85+N86+N87+N89+N90+N91+N92+N82+N93</f>
        <v>0</v>
      </c>
      <c r="O80" s="7">
        <f>O81+O83+O84+O85+O86+O87+O89+O90+O91+O92+O82+O93</f>
        <v>0</v>
      </c>
      <c r="P80" s="454">
        <f t="shared" si="20"/>
        <v>1.1678653217713506</v>
      </c>
      <c r="Q80" s="292">
        <f t="shared" si="19"/>
        <v>0.0044551727687752955</v>
      </c>
      <c r="R80" s="293">
        <f t="shared" si="22"/>
        <v>0.005536207732314764</v>
      </c>
    </row>
    <row r="81" spans="1:18" ht="12" customHeight="1">
      <c r="A81" s="28"/>
      <c r="B81" s="18" t="s">
        <v>475</v>
      </c>
      <c r="C81" s="29" t="s">
        <v>377</v>
      </c>
      <c r="D81" s="8">
        <v>49324</v>
      </c>
      <c r="E81" s="20">
        <v>53163</v>
      </c>
      <c r="F81" s="20">
        <v>0</v>
      </c>
      <c r="G81" s="20">
        <v>0</v>
      </c>
      <c r="H81" s="20">
        <v>34560</v>
      </c>
      <c r="I81" s="20">
        <v>0</v>
      </c>
      <c r="J81" s="20">
        <v>0</v>
      </c>
      <c r="K81" s="8">
        <v>45980</v>
      </c>
      <c r="L81" s="8">
        <v>49200</v>
      </c>
      <c r="M81" s="20">
        <f>L81</f>
        <v>49200</v>
      </c>
      <c r="N81" s="24">
        <v>0</v>
      </c>
      <c r="O81" s="24">
        <v>0</v>
      </c>
      <c r="P81" s="454">
        <f t="shared" si="20"/>
        <v>1.0700304480208787</v>
      </c>
      <c r="Q81" s="292">
        <f t="shared" si="19"/>
        <v>0.001317762678565011</v>
      </c>
      <c r="R81" s="293">
        <f t="shared" si="22"/>
        <v>0.0015003355628563754</v>
      </c>
    </row>
    <row r="82" spans="1:18" ht="14.25" customHeight="1">
      <c r="A82" s="28"/>
      <c r="B82" s="18" t="s">
        <v>477</v>
      </c>
      <c r="C82" s="11" t="s">
        <v>378</v>
      </c>
      <c r="D82" s="8"/>
      <c r="E82" s="20"/>
      <c r="F82" s="20"/>
      <c r="G82" s="20"/>
      <c r="H82" s="20">
        <v>22800</v>
      </c>
      <c r="I82" s="20">
        <v>0</v>
      </c>
      <c r="J82" s="20">
        <v>0</v>
      </c>
      <c r="K82" s="8">
        <v>60940</v>
      </c>
      <c r="L82" s="8">
        <v>78200</v>
      </c>
      <c r="M82" s="20">
        <f aca="true" t="shared" si="25" ref="M82:M92">L82</f>
        <v>78200</v>
      </c>
      <c r="N82" s="24">
        <v>0</v>
      </c>
      <c r="O82" s="24">
        <v>0</v>
      </c>
      <c r="P82" s="454">
        <f t="shared" si="20"/>
        <v>1.2832294059730882</v>
      </c>
      <c r="Q82" s="292">
        <f t="shared" si="19"/>
        <v>0.001746508430442622</v>
      </c>
      <c r="R82" s="293">
        <f t="shared" si="22"/>
        <v>0.00238467969543432</v>
      </c>
    </row>
    <row r="83" spans="1:18" ht="14.25" customHeight="1">
      <c r="A83" s="28"/>
      <c r="B83" s="18" t="s">
        <v>479</v>
      </c>
      <c r="C83" s="29" t="s">
        <v>480</v>
      </c>
      <c r="D83" s="8">
        <v>2600</v>
      </c>
      <c r="E83" s="20">
        <v>4103</v>
      </c>
      <c r="F83" s="20">
        <v>0</v>
      </c>
      <c r="G83" s="20">
        <v>0</v>
      </c>
      <c r="H83" s="20">
        <v>4508</v>
      </c>
      <c r="I83" s="20">
        <v>0</v>
      </c>
      <c r="J83" s="20">
        <v>0</v>
      </c>
      <c r="K83" s="8">
        <v>8422</v>
      </c>
      <c r="L83" s="8">
        <v>8864</v>
      </c>
      <c r="M83" s="20">
        <f t="shared" si="25"/>
        <v>8864</v>
      </c>
      <c r="N83" s="24">
        <v>0</v>
      </c>
      <c r="O83" s="24">
        <v>0</v>
      </c>
      <c r="P83" s="454">
        <f t="shared" si="20"/>
        <v>1.0524815958204703</v>
      </c>
      <c r="Q83" s="292">
        <f t="shared" si="19"/>
        <v>0.00024137010175890653</v>
      </c>
      <c r="R83" s="293">
        <f t="shared" si="22"/>
        <v>0.00027030435831623803</v>
      </c>
    </row>
    <row r="84" spans="1:18" ht="15" customHeight="1">
      <c r="A84" s="28"/>
      <c r="B84" s="25" t="s">
        <v>532</v>
      </c>
      <c r="C84" s="29" t="s">
        <v>509</v>
      </c>
      <c r="D84" s="8">
        <v>10556</v>
      </c>
      <c r="E84" s="20">
        <v>10240</v>
      </c>
      <c r="F84" s="20">
        <v>0</v>
      </c>
      <c r="G84" s="20">
        <v>0</v>
      </c>
      <c r="H84" s="20">
        <v>11254</v>
      </c>
      <c r="I84" s="20">
        <v>0</v>
      </c>
      <c r="J84" s="20">
        <v>0</v>
      </c>
      <c r="K84" s="8">
        <v>20510</v>
      </c>
      <c r="L84" s="8">
        <v>24786</v>
      </c>
      <c r="M84" s="20">
        <f t="shared" si="25"/>
        <v>24786</v>
      </c>
      <c r="N84" s="24">
        <v>0</v>
      </c>
      <c r="O84" s="24">
        <v>0</v>
      </c>
      <c r="P84" s="454">
        <f t="shared" si="20"/>
        <v>1.2084836665041443</v>
      </c>
      <c r="Q84" s="292">
        <f t="shared" si="19"/>
        <v>0.0005878058403081421</v>
      </c>
      <c r="R84" s="293">
        <f t="shared" si="22"/>
        <v>0.0007558397817267911</v>
      </c>
    </row>
    <row r="85" spans="1:18" ht="14.25" customHeight="1">
      <c r="A85" s="28"/>
      <c r="B85" s="25" t="s">
        <v>483</v>
      </c>
      <c r="C85" s="29" t="s">
        <v>484</v>
      </c>
      <c r="D85" s="8"/>
      <c r="E85" s="20">
        <v>1403</v>
      </c>
      <c r="F85" s="20">
        <v>0</v>
      </c>
      <c r="G85" s="20">
        <v>0</v>
      </c>
      <c r="H85" s="20">
        <v>1516</v>
      </c>
      <c r="I85" s="20">
        <v>0</v>
      </c>
      <c r="J85" s="20">
        <v>0</v>
      </c>
      <c r="K85" s="8">
        <v>2762</v>
      </c>
      <c r="L85" s="8">
        <v>3338</v>
      </c>
      <c r="M85" s="20">
        <f t="shared" si="25"/>
        <v>3338</v>
      </c>
      <c r="N85" s="24">
        <v>0</v>
      </c>
      <c r="O85" s="24">
        <v>0</v>
      </c>
      <c r="P85" s="454">
        <f t="shared" si="20"/>
        <v>1.2085445329471398</v>
      </c>
      <c r="Q85" s="292">
        <f t="shared" si="19"/>
        <v>7.91574710351579E-05</v>
      </c>
      <c r="R85" s="293">
        <f t="shared" si="22"/>
        <v>0.00010179105912224759</v>
      </c>
    </row>
    <row r="86" spans="1:18" ht="15.75" customHeight="1">
      <c r="A86" s="28"/>
      <c r="B86" s="18" t="s">
        <v>256</v>
      </c>
      <c r="C86" s="29" t="s">
        <v>257</v>
      </c>
      <c r="D86" s="8">
        <v>8222</v>
      </c>
      <c r="E86" s="20">
        <v>0</v>
      </c>
      <c r="F86" s="20">
        <v>0</v>
      </c>
      <c r="G86" s="20">
        <v>0</v>
      </c>
      <c r="H86" s="20"/>
      <c r="I86" s="20"/>
      <c r="J86" s="20"/>
      <c r="K86" s="8">
        <v>0</v>
      </c>
      <c r="L86" s="8">
        <v>0</v>
      </c>
      <c r="M86" s="20"/>
      <c r="N86" s="24"/>
      <c r="O86" s="24"/>
      <c r="P86" s="454">
        <v>0</v>
      </c>
      <c r="Q86" s="292">
        <f t="shared" si="19"/>
        <v>0</v>
      </c>
      <c r="R86" s="293">
        <f t="shared" si="22"/>
        <v>0</v>
      </c>
    </row>
    <row r="87" spans="1:18" ht="13.5" customHeight="1">
      <c r="A87" s="28"/>
      <c r="B87" s="18" t="s">
        <v>485</v>
      </c>
      <c r="C87" s="29" t="s">
        <v>512</v>
      </c>
      <c r="D87" s="8"/>
      <c r="E87" s="20">
        <v>2270</v>
      </c>
      <c r="F87" s="20">
        <v>0</v>
      </c>
      <c r="G87" s="20">
        <v>0</v>
      </c>
      <c r="H87" s="20">
        <v>300</v>
      </c>
      <c r="I87" s="20">
        <v>0</v>
      </c>
      <c r="J87" s="20">
        <v>0</v>
      </c>
      <c r="K87" s="8">
        <v>3900</v>
      </c>
      <c r="L87" s="8">
        <v>3000</v>
      </c>
      <c r="M87" s="20">
        <f t="shared" si="25"/>
        <v>3000</v>
      </c>
      <c r="N87" s="24">
        <v>0</v>
      </c>
      <c r="O87" s="24">
        <v>0</v>
      </c>
      <c r="P87" s="454">
        <f t="shared" si="20"/>
        <v>0.7692307692307693</v>
      </c>
      <c r="Q87" s="292">
        <f t="shared" si="19"/>
        <v>0.00011177195403226496</v>
      </c>
      <c r="R87" s="293">
        <f t="shared" si="22"/>
        <v>9.148387578392533E-05</v>
      </c>
    </row>
    <row r="88" spans="1:18" ht="13.5" customHeight="1">
      <c r="A88" s="28"/>
      <c r="B88" s="18" t="s">
        <v>487</v>
      </c>
      <c r="C88" s="29" t="s">
        <v>584</v>
      </c>
      <c r="D88" s="8"/>
      <c r="E88" s="20"/>
      <c r="F88" s="20"/>
      <c r="G88" s="20"/>
      <c r="H88" s="20"/>
      <c r="I88" s="20"/>
      <c r="J88" s="20"/>
      <c r="K88" s="8">
        <v>0</v>
      </c>
      <c r="L88" s="8">
        <v>4700</v>
      </c>
      <c r="M88" s="20">
        <f t="shared" si="25"/>
        <v>4700</v>
      </c>
      <c r="N88" s="24"/>
      <c r="O88" s="24"/>
      <c r="P88" s="454">
        <v>0</v>
      </c>
      <c r="Q88" s="292">
        <f t="shared" si="19"/>
        <v>0</v>
      </c>
      <c r="R88" s="293">
        <f t="shared" si="22"/>
        <v>0.00014332473872814968</v>
      </c>
    </row>
    <row r="89" spans="1:18" ht="12.75" customHeight="1">
      <c r="A89" s="28"/>
      <c r="B89" s="18" t="s">
        <v>491</v>
      </c>
      <c r="C89" s="29" t="s">
        <v>492</v>
      </c>
      <c r="D89" s="8"/>
      <c r="E89" s="20">
        <v>4000</v>
      </c>
      <c r="F89" s="20">
        <v>0</v>
      </c>
      <c r="G89" s="20">
        <v>0</v>
      </c>
      <c r="H89" s="20">
        <v>3097</v>
      </c>
      <c r="I89" s="20">
        <v>0</v>
      </c>
      <c r="J89" s="20">
        <v>0</v>
      </c>
      <c r="K89" s="8">
        <v>4970</v>
      </c>
      <c r="L89" s="8">
        <v>4125</v>
      </c>
      <c r="M89" s="20">
        <f t="shared" si="25"/>
        <v>4125</v>
      </c>
      <c r="N89" s="24">
        <v>0</v>
      </c>
      <c r="O89" s="24">
        <v>0</v>
      </c>
      <c r="P89" s="454">
        <f t="shared" si="20"/>
        <v>0.829979879275654</v>
      </c>
      <c r="Q89" s="292">
        <f t="shared" si="19"/>
        <v>0.0001424375927026556</v>
      </c>
      <c r="R89" s="293">
        <f t="shared" si="22"/>
        <v>0.00012579032920289734</v>
      </c>
    </row>
    <row r="90" spans="1:18" ht="13.5" customHeight="1">
      <c r="A90" s="28"/>
      <c r="B90" s="18" t="s">
        <v>493</v>
      </c>
      <c r="C90" s="29" t="s">
        <v>494</v>
      </c>
      <c r="D90" s="8"/>
      <c r="E90" s="20">
        <v>2500</v>
      </c>
      <c r="F90" s="20">
        <v>0</v>
      </c>
      <c r="G90" s="20">
        <v>0</v>
      </c>
      <c r="H90" s="20">
        <v>2478</v>
      </c>
      <c r="I90" s="20">
        <v>0</v>
      </c>
      <c r="J90" s="20">
        <v>0</v>
      </c>
      <c r="K90" s="8">
        <v>0</v>
      </c>
      <c r="L90" s="8">
        <v>500</v>
      </c>
      <c r="M90" s="20">
        <f t="shared" si="25"/>
        <v>500</v>
      </c>
      <c r="N90" s="24">
        <v>0</v>
      </c>
      <c r="O90" s="24">
        <v>0</v>
      </c>
      <c r="P90" s="454">
        <v>0</v>
      </c>
      <c r="Q90" s="292">
        <f t="shared" si="19"/>
        <v>0</v>
      </c>
      <c r="R90" s="293">
        <f t="shared" si="22"/>
        <v>1.5247312630654222E-05</v>
      </c>
    </row>
    <row r="91" spans="1:18" ht="13.5" customHeight="1">
      <c r="A91" s="28"/>
      <c r="B91" s="18" t="s">
        <v>495</v>
      </c>
      <c r="C91" s="29" t="s">
        <v>496</v>
      </c>
      <c r="D91" s="8"/>
      <c r="E91" s="20"/>
      <c r="F91" s="20"/>
      <c r="G91" s="20"/>
      <c r="H91" s="20"/>
      <c r="I91" s="20"/>
      <c r="J91" s="20"/>
      <c r="K91" s="8">
        <v>1535</v>
      </c>
      <c r="L91" s="8">
        <v>2200</v>
      </c>
      <c r="M91" s="20">
        <f>L91</f>
        <v>2200</v>
      </c>
      <c r="N91" s="24">
        <v>0</v>
      </c>
      <c r="O91" s="24">
        <v>0</v>
      </c>
      <c r="P91" s="454">
        <f t="shared" si="20"/>
        <v>1.4332247557003257</v>
      </c>
      <c r="Q91" s="292">
        <f t="shared" si="19"/>
        <v>4.399229472808377E-05</v>
      </c>
      <c r="R91" s="293">
        <f t="shared" si="22"/>
        <v>6.708817557487858E-05</v>
      </c>
    </row>
    <row r="92" spans="1:18" ht="15" customHeight="1">
      <c r="A92" s="28"/>
      <c r="B92" s="18" t="s">
        <v>497</v>
      </c>
      <c r="C92" s="29" t="s">
        <v>498</v>
      </c>
      <c r="D92" s="8"/>
      <c r="E92" s="20">
        <v>1241</v>
      </c>
      <c r="F92" s="20">
        <v>0</v>
      </c>
      <c r="G92" s="20">
        <v>0</v>
      </c>
      <c r="H92" s="20">
        <v>1353</v>
      </c>
      <c r="I92" s="20">
        <v>0</v>
      </c>
      <c r="J92" s="20">
        <v>0</v>
      </c>
      <c r="K92" s="8">
        <v>2933</v>
      </c>
      <c r="L92" s="8">
        <v>2634</v>
      </c>
      <c r="M92" s="20">
        <f t="shared" si="25"/>
        <v>2634</v>
      </c>
      <c r="N92" s="24">
        <v>0</v>
      </c>
      <c r="O92" s="24">
        <v>0</v>
      </c>
      <c r="P92" s="454">
        <f t="shared" si="20"/>
        <v>0.8980565973406068</v>
      </c>
      <c r="Q92" s="292">
        <f t="shared" si="19"/>
        <v>8.405824132734182E-05</v>
      </c>
      <c r="R92" s="293">
        <f t="shared" si="22"/>
        <v>8.032284293828644E-05</v>
      </c>
    </row>
    <row r="93" spans="1:18" ht="15" customHeight="1">
      <c r="A93" s="28"/>
      <c r="B93" s="18" t="s">
        <v>517</v>
      </c>
      <c r="C93" s="29" t="s">
        <v>602</v>
      </c>
      <c r="D93" s="8"/>
      <c r="E93" s="20"/>
      <c r="F93" s="20"/>
      <c r="G93" s="20"/>
      <c r="H93" s="20"/>
      <c r="I93" s="20"/>
      <c r="J93" s="20"/>
      <c r="K93" s="8">
        <v>3500</v>
      </c>
      <c r="L93" s="8">
        <v>0</v>
      </c>
      <c r="M93" s="20">
        <v>0</v>
      </c>
      <c r="N93" s="24">
        <v>0</v>
      </c>
      <c r="O93" s="24">
        <v>0</v>
      </c>
      <c r="P93" s="454">
        <f t="shared" si="20"/>
        <v>0</v>
      </c>
      <c r="Q93" s="292">
        <f t="shared" si="19"/>
        <v>0.00010030816387510957</v>
      </c>
      <c r="R93" s="293">
        <f t="shared" si="22"/>
        <v>0</v>
      </c>
    </row>
    <row r="94" spans="1:18" s="442" customFormat="1" ht="14.25" customHeight="1">
      <c r="A94" s="443" t="s">
        <v>533</v>
      </c>
      <c r="B94" s="447"/>
      <c r="C94" s="449" t="s">
        <v>534</v>
      </c>
      <c r="D94" s="444" t="e">
        <f>D95+D109+D116+D140+D154</f>
        <v>#REF!</v>
      </c>
      <c r="E94" s="444" t="e">
        <f>E95+E109+E116+E140+E154</f>
        <v>#REF!</v>
      </c>
      <c r="F94" s="444" t="e">
        <f>F95+F109+F116+F140+F154</f>
        <v>#REF!</v>
      </c>
      <c r="G94" s="444" t="e">
        <f>G95+G109+G116+G140+G154</f>
        <v>#REF!</v>
      </c>
      <c r="H94" s="444" t="e">
        <f>H95+H109+H116+H140+H154+#REF!</f>
        <v>#REF!</v>
      </c>
      <c r="I94" s="444" t="e">
        <f>I95+I109+I116+I140+I154+#REF!</f>
        <v>#REF!</v>
      </c>
      <c r="J94" s="444" t="e">
        <f>J95+J109+J116+J140+J154+#REF!</f>
        <v>#REF!</v>
      </c>
      <c r="K94" s="444">
        <f>K95+K107+K109+K116+K140+K149+K154</f>
        <v>2341505</v>
      </c>
      <c r="L94" s="444">
        <f>L95+L107+L109+L116+L140+L154</f>
        <v>2471651</v>
      </c>
      <c r="M94" s="444">
        <f>M95+M107+M109+M116+M140+M154</f>
        <v>115748</v>
      </c>
      <c r="N94" s="444">
        <f>N95+N107+N109+N116+N140+N154</f>
        <v>2301183</v>
      </c>
      <c r="O94" s="444">
        <f>O95+O107+O109+O116+O140+O154</f>
        <v>54720</v>
      </c>
      <c r="P94" s="440">
        <f t="shared" si="20"/>
        <v>1.0555822003369628</v>
      </c>
      <c r="Q94" s="440">
        <f t="shared" si="19"/>
        <v>0.06710630492982526</v>
      </c>
      <c r="R94" s="441">
        <f t="shared" si="22"/>
        <v>0.07537207102173828</v>
      </c>
    </row>
    <row r="95" spans="1:18" ht="13.5" customHeight="1">
      <c r="A95" s="17" t="s">
        <v>535</v>
      </c>
      <c r="B95" s="27"/>
      <c r="C95" s="4" t="s">
        <v>536</v>
      </c>
      <c r="D95" s="7">
        <f>D97+D98+D99+D101</f>
        <v>120453</v>
      </c>
      <c r="E95" s="7">
        <f>E97+E98+E99+E100+E101+E103</f>
        <v>120857</v>
      </c>
      <c r="F95" s="7">
        <f>F97+F98+F99+F100+F101+F103</f>
        <v>0</v>
      </c>
      <c r="G95" s="7">
        <f>G97+G98+G99+G100+G101+G103</f>
        <v>0</v>
      </c>
      <c r="H95" s="7">
        <f>H97+H98+H99+H100+H101+H103+H104+H105+H106+H96</f>
        <v>89799</v>
      </c>
      <c r="I95" s="7">
        <f>I97+I98+I99+I100+I101+I103+I104+I105+I106+I96</f>
        <v>0</v>
      </c>
      <c r="J95" s="7">
        <f>J97+J98+J99+J100+J101+J103+J104+J105+J106+J96</f>
        <v>0</v>
      </c>
      <c r="K95" s="7">
        <f>SUM(K96:K106)</f>
        <v>94258</v>
      </c>
      <c r="L95" s="7">
        <f>SUM(L96:L106)</f>
        <v>102748</v>
      </c>
      <c r="M95" s="7">
        <f>SUM(M96:M106)</f>
        <v>102748</v>
      </c>
      <c r="N95" s="7">
        <f>SUM(N96:N106)</f>
        <v>0</v>
      </c>
      <c r="O95" s="7">
        <f>SUM(O96:O106)</f>
        <v>0</v>
      </c>
      <c r="P95" s="460">
        <f t="shared" si="20"/>
        <v>1.0900719302340385</v>
      </c>
      <c r="Q95" s="460">
        <f t="shared" si="19"/>
        <v>0.0027013848315828796</v>
      </c>
      <c r="R95" s="461">
        <f t="shared" si="22"/>
        <v>0.00313326175634892</v>
      </c>
    </row>
    <row r="96" spans="1:18" ht="15" customHeight="1">
      <c r="A96" s="28"/>
      <c r="B96" s="18" t="s">
        <v>538</v>
      </c>
      <c r="C96" s="29" t="s">
        <v>395</v>
      </c>
      <c r="D96" s="8"/>
      <c r="E96" s="20"/>
      <c r="F96" s="20"/>
      <c r="G96" s="20"/>
      <c r="H96" s="20">
        <v>700</v>
      </c>
      <c r="I96" s="20">
        <v>0</v>
      </c>
      <c r="J96" s="20">
        <v>0</v>
      </c>
      <c r="K96" s="8">
        <v>10000</v>
      </c>
      <c r="L96" s="8">
        <v>0</v>
      </c>
      <c r="M96" s="20">
        <v>0</v>
      </c>
      <c r="N96" s="24">
        <v>0</v>
      </c>
      <c r="O96" s="24">
        <v>0</v>
      </c>
      <c r="P96" s="454">
        <f t="shared" si="20"/>
        <v>0</v>
      </c>
      <c r="Q96" s="292">
        <f t="shared" si="19"/>
        <v>0.0002865947539288845</v>
      </c>
      <c r="R96" s="293">
        <f t="shared" si="22"/>
        <v>0</v>
      </c>
    </row>
    <row r="97" spans="1:18" ht="14.25" customHeight="1">
      <c r="A97" s="28"/>
      <c r="B97" s="18" t="s">
        <v>475</v>
      </c>
      <c r="C97" s="29" t="s">
        <v>377</v>
      </c>
      <c r="D97" s="8">
        <v>90000</v>
      </c>
      <c r="E97" s="20">
        <v>90000</v>
      </c>
      <c r="F97" s="20">
        <v>0</v>
      </c>
      <c r="G97" s="20">
        <v>0</v>
      </c>
      <c r="H97" s="20">
        <v>51600</v>
      </c>
      <c r="I97" s="20">
        <v>0</v>
      </c>
      <c r="J97" s="20">
        <v>0</v>
      </c>
      <c r="K97" s="8">
        <v>55440</v>
      </c>
      <c r="L97" s="8">
        <v>70400</v>
      </c>
      <c r="M97" s="20">
        <f>L97</f>
        <v>70400</v>
      </c>
      <c r="N97" s="24">
        <v>0</v>
      </c>
      <c r="O97" s="24">
        <v>0</v>
      </c>
      <c r="P97" s="454">
        <f t="shared" si="20"/>
        <v>1.2698412698412698</v>
      </c>
      <c r="Q97" s="292">
        <f t="shared" si="19"/>
        <v>0.0015888813157817357</v>
      </c>
      <c r="R97" s="293">
        <f t="shared" si="22"/>
        <v>0.0021468216183961144</v>
      </c>
    </row>
    <row r="98" spans="1:18" ht="15.75" customHeight="1">
      <c r="A98" s="28"/>
      <c r="B98" s="18" t="s">
        <v>479</v>
      </c>
      <c r="C98" s="29" t="s">
        <v>480</v>
      </c>
      <c r="D98" s="8">
        <v>6390</v>
      </c>
      <c r="E98" s="20">
        <v>6390</v>
      </c>
      <c r="F98" s="20">
        <v>0</v>
      </c>
      <c r="G98" s="20">
        <v>0</v>
      </c>
      <c r="H98" s="20">
        <v>3825</v>
      </c>
      <c r="I98" s="20">
        <v>0</v>
      </c>
      <c r="J98" s="20">
        <v>0</v>
      </c>
      <c r="K98" s="8">
        <v>4590</v>
      </c>
      <c r="L98" s="8">
        <v>4712</v>
      </c>
      <c r="M98" s="20">
        <f aca="true" t="shared" si="26" ref="M98:M106">L98</f>
        <v>4712</v>
      </c>
      <c r="N98" s="24">
        <v>0</v>
      </c>
      <c r="O98" s="24">
        <v>0</v>
      </c>
      <c r="P98" s="454">
        <f t="shared" si="20"/>
        <v>1.0265795206971677</v>
      </c>
      <c r="Q98" s="292">
        <f t="shared" si="19"/>
        <v>0.000131546992053358</v>
      </c>
      <c r="R98" s="293">
        <f t="shared" si="22"/>
        <v>0.0001436906742312854</v>
      </c>
    </row>
    <row r="99" spans="1:18" ht="16.5" customHeight="1">
      <c r="A99" s="28"/>
      <c r="B99" s="25" t="s">
        <v>532</v>
      </c>
      <c r="C99" s="29" t="s">
        <v>537</v>
      </c>
      <c r="D99" s="8">
        <v>19597</v>
      </c>
      <c r="E99" s="20">
        <v>17235</v>
      </c>
      <c r="F99" s="20">
        <v>0</v>
      </c>
      <c r="G99" s="20">
        <v>0</v>
      </c>
      <c r="H99" s="20">
        <v>9550</v>
      </c>
      <c r="I99" s="20">
        <v>0</v>
      </c>
      <c r="J99" s="20">
        <v>0</v>
      </c>
      <c r="K99" s="8">
        <v>10343</v>
      </c>
      <c r="L99" s="8">
        <v>12942</v>
      </c>
      <c r="M99" s="20">
        <f t="shared" si="26"/>
        <v>12942</v>
      </c>
      <c r="N99" s="24">
        <v>0</v>
      </c>
      <c r="O99" s="24">
        <v>0</v>
      </c>
      <c r="P99" s="454">
        <f t="shared" si="20"/>
        <v>1.2512810596538722</v>
      </c>
      <c r="Q99" s="292">
        <f t="shared" si="19"/>
        <v>0.00029642495398864523</v>
      </c>
      <c r="R99" s="293">
        <f t="shared" si="22"/>
        <v>0.0003946614401318539</v>
      </c>
    </row>
    <row r="100" spans="1:18" ht="15" customHeight="1">
      <c r="A100" s="28"/>
      <c r="B100" s="25" t="s">
        <v>483</v>
      </c>
      <c r="C100" s="29" t="s">
        <v>484</v>
      </c>
      <c r="D100" s="8"/>
      <c r="E100" s="20">
        <v>2362</v>
      </c>
      <c r="F100" s="20">
        <v>0</v>
      </c>
      <c r="G100" s="20">
        <v>0</v>
      </c>
      <c r="H100" s="20">
        <v>1358</v>
      </c>
      <c r="I100" s="20">
        <v>0</v>
      </c>
      <c r="J100" s="20">
        <v>0</v>
      </c>
      <c r="K100" s="8">
        <v>1471</v>
      </c>
      <c r="L100" s="8">
        <v>1840</v>
      </c>
      <c r="M100" s="20">
        <f t="shared" si="26"/>
        <v>1840</v>
      </c>
      <c r="N100" s="24">
        <v>0</v>
      </c>
      <c r="O100" s="24">
        <v>0</v>
      </c>
      <c r="P100" s="454">
        <f t="shared" si="20"/>
        <v>1.2508497620666212</v>
      </c>
      <c r="Q100" s="292">
        <f t="shared" si="19"/>
        <v>4.215808830293891E-05</v>
      </c>
      <c r="R100" s="293">
        <f t="shared" si="22"/>
        <v>5.6110110480807537E-05</v>
      </c>
    </row>
    <row r="101" spans="1:18" ht="18.75" customHeight="1" hidden="1">
      <c r="A101" s="28"/>
      <c r="B101" s="18"/>
      <c r="C101" s="29" t="s">
        <v>523</v>
      </c>
      <c r="D101" s="8">
        <v>4466</v>
      </c>
      <c r="E101" s="20">
        <v>1767</v>
      </c>
      <c r="F101" s="20">
        <v>0</v>
      </c>
      <c r="G101" s="20">
        <v>0</v>
      </c>
      <c r="H101" s="20"/>
      <c r="I101" s="20"/>
      <c r="J101" s="20"/>
      <c r="K101" s="8">
        <v>0</v>
      </c>
      <c r="L101" s="8"/>
      <c r="M101" s="20">
        <f t="shared" si="26"/>
        <v>0</v>
      </c>
      <c r="N101" s="24"/>
      <c r="O101" s="24"/>
      <c r="P101" s="454" t="e">
        <f t="shared" si="20"/>
        <v>#DIV/0!</v>
      </c>
      <c r="Q101" s="292">
        <f t="shared" si="19"/>
        <v>0</v>
      </c>
      <c r="R101" s="293">
        <f t="shared" si="22"/>
        <v>0</v>
      </c>
    </row>
    <row r="102" spans="1:18" ht="15" customHeight="1">
      <c r="A102" s="28"/>
      <c r="B102" s="18" t="s">
        <v>256</v>
      </c>
      <c r="C102" s="29" t="s">
        <v>257</v>
      </c>
      <c r="D102" s="8"/>
      <c r="E102" s="20"/>
      <c r="F102" s="20"/>
      <c r="G102" s="20"/>
      <c r="H102" s="20"/>
      <c r="I102" s="20"/>
      <c r="J102" s="20"/>
      <c r="K102" s="8">
        <v>7160</v>
      </c>
      <c r="L102" s="8">
        <v>7160</v>
      </c>
      <c r="M102" s="20">
        <f>L102</f>
        <v>7160</v>
      </c>
      <c r="N102" s="24">
        <v>0</v>
      </c>
      <c r="O102" s="24">
        <v>0</v>
      </c>
      <c r="P102" s="454">
        <f t="shared" si="20"/>
        <v>1</v>
      </c>
      <c r="Q102" s="292">
        <f t="shared" si="19"/>
        <v>0.0002052018438130813</v>
      </c>
      <c r="R102" s="293">
        <f t="shared" si="22"/>
        <v>0.00021834151687096846</v>
      </c>
    </row>
    <row r="103" spans="1:18" ht="15" customHeight="1">
      <c r="A103" s="28"/>
      <c r="B103" s="18" t="s">
        <v>485</v>
      </c>
      <c r="C103" s="29" t="s">
        <v>486</v>
      </c>
      <c r="D103" s="8"/>
      <c r="E103" s="20">
        <v>3103</v>
      </c>
      <c r="F103" s="20">
        <v>0</v>
      </c>
      <c r="G103" s="20">
        <v>0</v>
      </c>
      <c r="H103" s="20">
        <v>1691</v>
      </c>
      <c r="I103" s="20">
        <v>0</v>
      </c>
      <c r="J103" s="20">
        <v>0</v>
      </c>
      <c r="K103" s="8">
        <v>1060</v>
      </c>
      <c r="L103" s="8">
        <v>1060</v>
      </c>
      <c r="M103" s="20">
        <f t="shared" si="26"/>
        <v>1060</v>
      </c>
      <c r="N103" s="24">
        <v>0</v>
      </c>
      <c r="O103" s="24">
        <v>0</v>
      </c>
      <c r="P103" s="454">
        <f t="shared" si="20"/>
        <v>1</v>
      </c>
      <c r="Q103" s="292">
        <f aca="true" t="shared" si="27" ref="Q103:Q132">K103/$K$662</f>
        <v>3.0379043916461757E-05</v>
      </c>
      <c r="R103" s="293">
        <f t="shared" si="22"/>
        <v>3.232430277698695E-05</v>
      </c>
    </row>
    <row r="104" spans="1:18" ht="14.25" customHeight="1">
      <c r="A104" s="28"/>
      <c r="B104" s="18" t="s">
        <v>491</v>
      </c>
      <c r="C104" s="29" t="s">
        <v>586</v>
      </c>
      <c r="D104" s="8"/>
      <c r="E104" s="20"/>
      <c r="F104" s="20"/>
      <c r="G104" s="20"/>
      <c r="H104" s="20">
        <v>17600</v>
      </c>
      <c r="I104" s="20">
        <v>0</v>
      </c>
      <c r="J104" s="20">
        <v>0</v>
      </c>
      <c r="K104" s="8">
        <v>1438</v>
      </c>
      <c r="L104" s="8">
        <v>1400</v>
      </c>
      <c r="M104" s="20">
        <f>L104</f>
        <v>1400</v>
      </c>
      <c r="N104" s="24">
        <v>0</v>
      </c>
      <c r="O104" s="24">
        <v>0</v>
      </c>
      <c r="P104" s="454">
        <f t="shared" si="20"/>
        <v>0.9735744089012517</v>
      </c>
      <c r="Q104" s="292">
        <f t="shared" si="27"/>
        <v>4.121232561497359E-05</v>
      </c>
      <c r="R104" s="293">
        <f t="shared" si="22"/>
        <v>4.269247536583182E-05</v>
      </c>
    </row>
    <row r="105" spans="1:18" ht="15" customHeight="1">
      <c r="A105" s="28"/>
      <c r="B105" s="18" t="s">
        <v>493</v>
      </c>
      <c r="C105" s="29" t="s">
        <v>494</v>
      </c>
      <c r="D105" s="8"/>
      <c r="E105" s="20"/>
      <c r="F105" s="20"/>
      <c r="G105" s="20"/>
      <c r="H105" s="20">
        <v>2225</v>
      </c>
      <c r="I105" s="20">
        <v>0</v>
      </c>
      <c r="J105" s="20">
        <v>0</v>
      </c>
      <c r="K105" s="8">
        <v>900</v>
      </c>
      <c r="L105" s="8">
        <v>600</v>
      </c>
      <c r="M105" s="20">
        <f t="shared" si="26"/>
        <v>600</v>
      </c>
      <c r="N105" s="24">
        <v>0</v>
      </c>
      <c r="O105" s="24">
        <v>0</v>
      </c>
      <c r="P105" s="454">
        <f t="shared" si="20"/>
        <v>0.6666666666666666</v>
      </c>
      <c r="Q105" s="292">
        <f t="shared" si="27"/>
        <v>2.5793527853599604E-05</v>
      </c>
      <c r="R105" s="293">
        <f t="shared" si="22"/>
        <v>1.8296775156785066E-05</v>
      </c>
    </row>
    <row r="106" spans="1:18" ht="15" customHeight="1">
      <c r="A106" s="28"/>
      <c r="B106" s="18" t="s">
        <v>497</v>
      </c>
      <c r="C106" s="29" t="s">
        <v>498</v>
      </c>
      <c r="D106" s="8"/>
      <c r="E106" s="20"/>
      <c r="F106" s="20"/>
      <c r="G106" s="20"/>
      <c r="H106" s="141">
        <v>1250</v>
      </c>
      <c r="I106" s="141">
        <v>0</v>
      </c>
      <c r="J106" s="141">
        <v>0</v>
      </c>
      <c r="K106" s="8">
        <v>1856</v>
      </c>
      <c r="L106" s="8">
        <v>2634</v>
      </c>
      <c r="M106" s="20">
        <f t="shared" si="26"/>
        <v>2634</v>
      </c>
      <c r="N106" s="24">
        <v>0</v>
      </c>
      <c r="O106" s="24">
        <v>0</v>
      </c>
      <c r="P106" s="454">
        <f t="shared" si="20"/>
        <v>1.4191810344827587</v>
      </c>
      <c r="Q106" s="292">
        <f t="shared" si="27"/>
        <v>5.3191986329200964E-05</v>
      </c>
      <c r="R106" s="293">
        <f t="shared" si="22"/>
        <v>8.032284293828644E-05</v>
      </c>
    </row>
    <row r="107" spans="1:18" s="37" customFormat="1" ht="17.25" customHeight="1">
      <c r="A107" s="17" t="s">
        <v>984</v>
      </c>
      <c r="B107" s="27"/>
      <c r="C107" s="4" t="s">
        <v>373</v>
      </c>
      <c r="D107" s="7"/>
      <c r="E107" s="7"/>
      <c r="F107" s="7"/>
      <c r="G107" s="7"/>
      <c r="H107" s="7"/>
      <c r="I107" s="7"/>
      <c r="J107" s="7"/>
      <c r="K107" s="7">
        <f>K108</f>
        <v>2720</v>
      </c>
      <c r="L107" s="7">
        <f>L108</f>
        <v>2720</v>
      </c>
      <c r="M107" s="7">
        <f>M108</f>
        <v>0</v>
      </c>
      <c r="N107" s="19">
        <f>N108</f>
        <v>0</v>
      </c>
      <c r="O107" s="19">
        <f>O108</f>
        <v>2720</v>
      </c>
      <c r="P107" s="454">
        <f t="shared" si="20"/>
        <v>1</v>
      </c>
      <c r="Q107" s="305">
        <f t="shared" si="27"/>
        <v>7.795377306865658E-05</v>
      </c>
      <c r="R107" s="437">
        <f t="shared" si="22"/>
        <v>8.294538071075897E-05</v>
      </c>
    </row>
    <row r="108" spans="1:18" ht="24" customHeight="1">
      <c r="A108" s="28"/>
      <c r="B108" s="18" t="s">
        <v>985</v>
      </c>
      <c r="C108" s="29" t="s">
        <v>986</v>
      </c>
      <c r="D108" s="8"/>
      <c r="E108" s="20"/>
      <c r="F108" s="20"/>
      <c r="G108" s="20"/>
      <c r="H108" s="20"/>
      <c r="I108" s="20"/>
      <c r="J108" s="20"/>
      <c r="K108" s="8">
        <v>2720</v>
      </c>
      <c r="L108" s="8">
        <v>2720</v>
      </c>
      <c r="M108" s="20">
        <v>0</v>
      </c>
      <c r="N108" s="24">
        <v>0</v>
      </c>
      <c r="O108" s="24">
        <f>L108</f>
        <v>2720</v>
      </c>
      <c r="P108" s="454">
        <f t="shared" si="20"/>
        <v>1</v>
      </c>
      <c r="Q108" s="292">
        <f t="shared" si="27"/>
        <v>7.795377306865658E-05</v>
      </c>
      <c r="R108" s="293">
        <f aca="true" t="shared" si="28" ref="R108:R139">L108/$L$662</f>
        <v>8.294538071075897E-05</v>
      </c>
    </row>
    <row r="109" spans="1:18" s="37" customFormat="1" ht="16.5" customHeight="1">
      <c r="A109" s="17" t="s">
        <v>540</v>
      </c>
      <c r="B109" s="27"/>
      <c r="C109" s="4" t="s">
        <v>541</v>
      </c>
      <c r="D109" s="7">
        <f>D110</f>
        <v>134900</v>
      </c>
      <c r="E109" s="7" t="e">
        <f>E110+#REF!+#REF!+#REF!</f>
        <v>#REF!</v>
      </c>
      <c r="F109" s="7" t="e">
        <f>F110+#REF!+#REF!+#REF!</f>
        <v>#REF!</v>
      </c>
      <c r="G109" s="7" t="e">
        <f>G110+#REF!+#REF!+#REF!</f>
        <v>#REF!</v>
      </c>
      <c r="H109" s="7">
        <f>H110+H111+H113</f>
        <v>86060</v>
      </c>
      <c r="I109" s="7">
        <f>I110+I111+I113</f>
        <v>0</v>
      </c>
      <c r="J109" s="7">
        <f>J110+J111+J113</f>
        <v>0</v>
      </c>
      <c r="K109" s="7">
        <f>SUM(K110:K115)</f>
        <v>89528</v>
      </c>
      <c r="L109" s="7">
        <f>SUM(L110:L115)</f>
        <v>85800</v>
      </c>
      <c r="M109" s="7">
        <f>SUM(M110:M115)</f>
        <v>0</v>
      </c>
      <c r="N109" s="7">
        <f>SUM(N110:N115)</f>
        <v>85800</v>
      </c>
      <c r="O109" s="7">
        <f>SUM(O110:O115)</f>
        <v>0</v>
      </c>
      <c r="P109" s="457">
        <f t="shared" si="20"/>
        <v>0.9583593959431687</v>
      </c>
      <c r="Q109" s="435">
        <f t="shared" si="27"/>
        <v>0.002565825512974517</v>
      </c>
      <c r="R109" s="436">
        <f t="shared" si="28"/>
        <v>0.0026164388474202646</v>
      </c>
    </row>
    <row r="110" spans="1:18" ht="12.75" customHeight="1">
      <c r="A110" s="28"/>
      <c r="B110" s="18" t="s">
        <v>473</v>
      </c>
      <c r="C110" s="29" t="s">
        <v>542</v>
      </c>
      <c r="D110" s="8">
        <v>134900</v>
      </c>
      <c r="E110" s="20">
        <v>191600</v>
      </c>
      <c r="F110" s="20">
        <v>0</v>
      </c>
      <c r="G110" s="20">
        <v>0</v>
      </c>
      <c r="H110" s="20">
        <v>74690</v>
      </c>
      <c r="I110" s="20">
        <v>0</v>
      </c>
      <c r="J110" s="20">
        <v>0</v>
      </c>
      <c r="K110" s="8">
        <v>70328</v>
      </c>
      <c r="L110" s="8">
        <v>60000</v>
      </c>
      <c r="M110" s="20">
        <v>0</v>
      </c>
      <c r="N110" s="24">
        <f aca="true" t="shared" si="29" ref="N110:N115">L110</f>
        <v>60000</v>
      </c>
      <c r="O110" s="24">
        <v>0</v>
      </c>
      <c r="P110" s="454">
        <f t="shared" si="20"/>
        <v>0.8531452621999772</v>
      </c>
      <c r="Q110" s="292">
        <f t="shared" si="27"/>
        <v>0.002015563585431059</v>
      </c>
      <c r="R110" s="293">
        <f t="shared" si="28"/>
        <v>0.0018296775156785067</v>
      </c>
    </row>
    <row r="111" spans="1:18" ht="12.75" customHeight="1">
      <c r="A111" s="28"/>
      <c r="B111" s="18" t="s">
        <v>485</v>
      </c>
      <c r="C111" s="29" t="s">
        <v>486</v>
      </c>
      <c r="D111" s="8"/>
      <c r="E111" s="20"/>
      <c r="F111" s="20"/>
      <c r="G111" s="20"/>
      <c r="H111" s="20">
        <v>3670</v>
      </c>
      <c r="I111" s="20">
        <v>0</v>
      </c>
      <c r="J111" s="20">
        <v>0</v>
      </c>
      <c r="K111" s="8">
        <v>8000</v>
      </c>
      <c r="L111" s="8">
        <v>13100</v>
      </c>
      <c r="M111" s="20">
        <v>0</v>
      </c>
      <c r="N111" s="24">
        <f t="shared" si="29"/>
        <v>13100</v>
      </c>
      <c r="O111" s="24">
        <v>0</v>
      </c>
      <c r="P111" s="454">
        <f t="shared" si="20"/>
        <v>1.6375</v>
      </c>
      <c r="Q111" s="292">
        <f t="shared" si="27"/>
        <v>0.0002292758031431076</v>
      </c>
      <c r="R111" s="293">
        <f t="shared" si="28"/>
        <v>0.0003994795909231406</v>
      </c>
    </row>
    <row r="112" spans="1:18" ht="12.75" customHeight="1">
      <c r="A112" s="28"/>
      <c r="B112" s="18" t="s">
        <v>487</v>
      </c>
      <c r="C112" s="29" t="s">
        <v>584</v>
      </c>
      <c r="D112" s="8"/>
      <c r="E112" s="20"/>
      <c r="F112" s="20"/>
      <c r="G112" s="20"/>
      <c r="H112" s="20"/>
      <c r="I112" s="20"/>
      <c r="J112" s="20"/>
      <c r="K112" s="8">
        <v>0</v>
      </c>
      <c r="L112" s="8">
        <v>2800</v>
      </c>
      <c r="M112" s="20">
        <v>0</v>
      </c>
      <c r="N112" s="24">
        <f t="shared" si="29"/>
        <v>2800</v>
      </c>
      <c r="O112" s="24">
        <v>0</v>
      </c>
      <c r="P112" s="454">
        <v>0</v>
      </c>
      <c r="Q112" s="292">
        <f t="shared" si="27"/>
        <v>0</v>
      </c>
      <c r="R112" s="293">
        <f t="shared" si="28"/>
        <v>8.538495073166364E-05</v>
      </c>
    </row>
    <row r="113" spans="1:18" ht="12.75" customHeight="1">
      <c r="A113" s="28"/>
      <c r="B113" s="18" t="s">
        <v>491</v>
      </c>
      <c r="C113" s="29" t="s">
        <v>586</v>
      </c>
      <c r="D113" s="8"/>
      <c r="E113" s="20"/>
      <c r="F113" s="20"/>
      <c r="G113" s="20"/>
      <c r="H113" s="20">
        <v>7700</v>
      </c>
      <c r="I113" s="20">
        <v>0</v>
      </c>
      <c r="J113" s="20">
        <v>0</v>
      </c>
      <c r="K113" s="8">
        <v>10200</v>
      </c>
      <c r="L113" s="8">
        <v>8400</v>
      </c>
      <c r="M113" s="20">
        <v>0</v>
      </c>
      <c r="N113" s="24">
        <f t="shared" si="29"/>
        <v>8400</v>
      </c>
      <c r="O113" s="24">
        <v>0</v>
      </c>
      <c r="P113" s="454">
        <f t="shared" si="20"/>
        <v>0.8235294117647058</v>
      </c>
      <c r="Q113" s="292">
        <f t="shared" si="27"/>
        <v>0.00029232664900746217</v>
      </c>
      <c r="R113" s="293">
        <f t="shared" si="28"/>
        <v>0.0002561548521949909</v>
      </c>
    </row>
    <row r="114" spans="1:18" ht="12.75" customHeight="1">
      <c r="A114" s="28"/>
      <c r="B114" s="18" t="s">
        <v>493</v>
      </c>
      <c r="C114" s="29" t="s">
        <v>494</v>
      </c>
      <c r="D114" s="8"/>
      <c r="E114" s="20"/>
      <c r="F114" s="20"/>
      <c r="G114" s="20"/>
      <c r="H114" s="20"/>
      <c r="I114" s="20"/>
      <c r="J114" s="20"/>
      <c r="K114" s="8">
        <v>0</v>
      </c>
      <c r="L114" s="8">
        <v>500</v>
      </c>
      <c r="M114" s="20">
        <v>0</v>
      </c>
      <c r="N114" s="24">
        <f t="shared" si="29"/>
        <v>500</v>
      </c>
      <c r="O114" s="24">
        <v>0</v>
      </c>
      <c r="P114" s="454">
        <v>0</v>
      </c>
      <c r="Q114" s="292">
        <f t="shared" si="27"/>
        <v>0</v>
      </c>
      <c r="R114" s="293">
        <f t="shared" si="28"/>
        <v>1.5247312630654222E-05</v>
      </c>
    </row>
    <row r="115" spans="1:18" ht="12.75" customHeight="1">
      <c r="A115" s="28"/>
      <c r="B115" s="18" t="s">
        <v>415</v>
      </c>
      <c r="C115" s="29" t="s">
        <v>416</v>
      </c>
      <c r="D115" s="8"/>
      <c r="E115" s="20"/>
      <c r="F115" s="20"/>
      <c r="G115" s="20"/>
      <c r="H115" s="20"/>
      <c r="I115" s="20"/>
      <c r="J115" s="20"/>
      <c r="K115" s="8">
        <v>1000</v>
      </c>
      <c r="L115" s="8">
        <v>1000</v>
      </c>
      <c r="M115" s="20">
        <v>0</v>
      </c>
      <c r="N115" s="24">
        <f t="shared" si="29"/>
        <v>1000</v>
      </c>
      <c r="O115" s="24">
        <v>0</v>
      </c>
      <c r="P115" s="454">
        <f t="shared" si="20"/>
        <v>1</v>
      </c>
      <c r="Q115" s="292">
        <f t="shared" si="27"/>
        <v>2.865947539288845E-05</v>
      </c>
      <c r="R115" s="293">
        <f t="shared" si="28"/>
        <v>3.0494625261308444E-05</v>
      </c>
    </row>
    <row r="116" spans="1:18" s="37" customFormat="1" ht="15.75" customHeight="1">
      <c r="A116" s="17" t="s">
        <v>550</v>
      </c>
      <c r="B116" s="27"/>
      <c r="C116" s="4" t="s">
        <v>551</v>
      </c>
      <c r="D116" s="7" t="e">
        <f>D118+D119+D120+D123+D135+#REF!</f>
        <v>#REF!</v>
      </c>
      <c r="E116" s="7" t="e">
        <f>E118+E119+E120+E122+E123+#REF!+E124+E125+#REF!+E127+E130+E132+E133+E135+#REF!+E134</f>
        <v>#REF!</v>
      </c>
      <c r="F116" s="7" t="e">
        <f>F118+F119+F120+F122+F123+#REF!+F124+F125+#REF!+F127+F130+F132+F133+F135+#REF!+F134</f>
        <v>#REF!</v>
      </c>
      <c r="G116" s="7" t="e">
        <f>G118+G119+G120+G122+G123+#REF!+G124+G125+#REF!+G127+G130+G132+G133+G135+#REF!+G134</f>
        <v>#REF!</v>
      </c>
      <c r="H116" s="7" t="e">
        <f>H118+H119+H120+H122+H117+#REF!+H124+H125+#REF!+H127+H130+H132+H133+H134+H135+H136+#REF!+H131</f>
        <v>#REF!</v>
      </c>
      <c r="I116" s="7" t="e">
        <f>I118+I119+I120+I122+I117+#REF!+I124+I125+#REF!+I127+I130+I132+I133+I134+I135+I136+#REF!+I131</f>
        <v>#REF!</v>
      </c>
      <c r="J116" s="7" t="e">
        <f>J118+J119+J120+J122+J117+#REF!+J124+J125+#REF!+J127+J130+J132+J133+J134+J135+J136+#REF!+J131</f>
        <v>#REF!</v>
      </c>
      <c r="K116" s="7">
        <f>SUM(K117:K139)</f>
        <v>2115586</v>
      </c>
      <c r="L116" s="7">
        <f>SUM(L117:L139)</f>
        <v>2255383</v>
      </c>
      <c r="M116" s="7">
        <f>SUM(M117:M139)</f>
        <v>0</v>
      </c>
      <c r="N116" s="7">
        <f>SUM(N117:N139)</f>
        <v>2203383</v>
      </c>
      <c r="O116" s="7">
        <f>SUM(O117:O139)</f>
        <v>52000</v>
      </c>
      <c r="P116" s="457">
        <f t="shared" si="20"/>
        <v>1.0660795637709835</v>
      </c>
      <c r="Q116" s="435">
        <f t="shared" si="27"/>
        <v>0.0606315849085393</v>
      </c>
      <c r="R116" s="436">
        <f t="shared" si="28"/>
        <v>0.06877705940572562</v>
      </c>
    </row>
    <row r="117" spans="1:18" ht="16.5" customHeight="1">
      <c r="A117" s="30"/>
      <c r="B117" s="31" t="s">
        <v>461</v>
      </c>
      <c r="C117" s="29" t="s">
        <v>318</v>
      </c>
      <c r="D117" s="8"/>
      <c r="E117" s="20"/>
      <c r="F117" s="20"/>
      <c r="G117" s="20"/>
      <c r="H117" s="20">
        <v>216</v>
      </c>
      <c r="I117" s="20">
        <v>0</v>
      </c>
      <c r="J117" s="20">
        <v>0</v>
      </c>
      <c r="K117" s="8">
        <v>300</v>
      </c>
      <c r="L117" s="8">
        <v>300</v>
      </c>
      <c r="M117" s="20">
        <v>0</v>
      </c>
      <c r="N117" s="24">
        <f>L117</f>
        <v>300</v>
      </c>
      <c r="O117" s="24">
        <v>0</v>
      </c>
      <c r="P117" s="454">
        <f t="shared" si="20"/>
        <v>1</v>
      </c>
      <c r="Q117" s="292">
        <f t="shared" si="27"/>
        <v>8.597842617866534E-06</v>
      </c>
      <c r="R117" s="293">
        <f t="shared" si="28"/>
        <v>9.148387578392533E-06</v>
      </c>
    </row>
    <row r="118" spans="1:18" ht="15.75" customHeight="1">
      <c r="A118" s="30"/>
      <c r="B118" s="31" t="s">
        <v>475</v>
      </c>
      <c r="C118" s="29" t="s">
        <v>377</v>
      </c>
      <c r="D118" s="8">
        <v>1172382</v>
      </c>
      <c r="E118" s="20">
        <v>1396150</v>
      </c>
      <c r="F118" s="20">
        <v>0</v>
      </c>
      <c r="G118" s="20">
        <v>0</v>
      </c>
      <c r="H118" s="20">
        <v>1069576</v>
      </c>
      <c r="I118" s="20">
        <v>0</v>
      </c>
      <c r="J118" s="20">
        <v>0</v>
      </c>
      <c r="K118" s="8">
        <v>1198098</v>
      </c>
      <c r="L118" s="8">
        <v>1394107</v>
      </c>
      <c r="M118" s="20">
        <v>0</v>
      </c>
      <c r="N118" s="24">
        <f>L118</f>
        <v>1394107</v>
      </c>
      <c r="O118" s="24">
        <v>0</v>
      </c>
      <c r="P118" s="454">
        <f t="shared" si="20"/>
        <v>1.1636001395545272</v>
      </c>
      <c r="Q118" s="292">
        <f t="shared" si="27"/>
        <v>0.034336860149268865</v>
      </c>
      <c r="R118" s="293">
        <f t="shared" si="28"/>
        <v>0.04251277053916693</v>
      </c>
    </row>
    <row r="119" spans="1:18" ht="16.5" customHeight="1">
      <c r="A119" s="30"/>
      <c r="B119" s="31" t="s">
        <v>479</v>
      </c>
      <c r="C119" s="29" t="s">
        <v>480</v>
      </c>
      <c r="D119" s="8">
        <v>77447</v>
      </c>
      <c r="E119" s="20">
        <v>95133</v>
      </c>
      <c r="F119" s="20">
        <v>0</v>
      </c>
      <c r="G119" s="20">
        <v>0</v>
      </c>
      <c r="H119" s="20">
        <v>81433</v>
      </c>
      <c r="I119" s="20">
        <v>0</v>
      </c>
      <c r="J119" s="20">
        <v>0</v>
      </c>
      <c r="K119" s="8">
        <v>83385</v>
      </c>
      <c r="L119" s="8">
        <v>77068</v>
      </c>
      <c r="M119" s="20">
        <v>0</v>
      </c>
      <c r="N119" s="24">
        <f aca="true" t="shared" si="30" ref="N119:N136">L119</f>
        <v>77068</v>
      </c>
      <c r="O119" s="24">
        <v>0</v>
      </c>
      <c r="P119" s="454">
        <f t="shared" si="20"/>
        <v>0.9242429693589974</v>
      </c>
      <c r="Q119" s="292">
        <f t="shared" si="27"/>
        <v>0.0023897703556360035</v>
      </c>
      <c r="R119" s="293">
        <f t="shared" si="28"/>
        <v>0.002350159779638519</v>
      </c>
    </row>
    <row r="120" spans="1:18" ht="15" customHeight="1">
      <c r="A120" s="30"/>
      <c r="B120" s="32" t="s">
        <v>532</v>
      </c>
      <c r="C120" s="29" t="s">
        <v>509</v>
      </c>
      <c r="D120" s="8">
        <v>236159</v>
      </c>
      <c r="E120" s="20">
        <v>262390</v>
      </c>
      <c r="F120" s="20">
        <v>0</v>
      </c>
      <c r="G120" s="20">
        <v>0</v>
      </c>
      <c r="H120" s="20">
        <v>195558</v>
      </c>
      <c r="I120" s="20">
        <v>0</v>
      </c>
      <c r="J120" s="20">
        <v>0</v>
      </c>
      <c r="K120" s="8">
        <v>202570</v>
      </c>
      <c r="L120" s="8">
        <v>197576</v>
      </c>
      <c r="M120" s="20">
        <v>0</v>
      </c>
      <c r="N120" s="24">
        <f t="shared" si="30"/>
        <v>197576</v>
      </c>
      <c r="O120" s="24">
        <v>0</v>
      </c>
      <c r="P120" s="454">
        <f t="shared" si="20"/>
        <v>0.9753467937009429</v>
      </c>
      <c r="Q120" s="292">
        <f t="shared" si="27"/>
        <v>0.005805549930337413</v>
      </c>
      <c r="R120" s="293">
        <f t="shared" si="28"/>
        <v>0.006025006080628277</v>
      </c>
    </row>
    <row r="121" spans="1:18" ht="15" customHeight="1">
      <c r="A121" s="30"/>
      <c r="B121" s="32" t="s">
        <v>256</v>
      </c>
      <c r="C121" s="29" t="s">
        <v>257</v>
      </c>
      <c r="D121" s="8"/>
      <c r="E121" s="20"/>
      <c r="F121" s="20"/>
      <c r="G121" s="20"/>
      <c r="H121" s="20"/>
      <c r="I121" s="20"/>
      <c r="J121" s="20"/>
      <c r="K121" s="8">
        <v>3950</v>
      </c>
      <c r="L121" s="8">
        <v>2000</v>
      </c>
      <c r="M121" s="20">
        <v>0</v>
      </c>
      <c r="N121" s="24">
        <f>L121</f>
        <v>2000</v>
      </c>
      <c r="O121" s="24">
        <v>0</v>
      </c>
      <c r="P121" s="454">
        <f t="shared" si="20"/>
        <v>0.5063291139240507</v>
      </c>
      <c r="Q121" s="292">
        <f t="shared" si="27"/>
        <v>0.00011320492780190938</v>
      </c>
      <c r="R121" s="293">
        <f t="shared" si="28"/>
        <v>6.098925052261689E-05</v>
      </c>
    </row>
    <row r="122" spans="1:18" ht="13.5" customHeight="1">
      <c r="A122" s="30"/>
      <c r="B122" s="32" t="s">
        <v>483</v>
      </c>
      <c r="C122" s="29" t="s">
        <v>484</v>
      </c>
      <c r="D122" s="8"/>
      <c r="E122" s="20">
        <v>35746</v>
      </c>
      <c r="F122" s="20">
        <v>0</v>
      </c>
      <c r="G122" s="20">
        <v>0</v>
      </c>
      <c r="H122" s="20">
        <v>27881</v>
      </c>
      <c r="I122" s="20">
        <v>0</v>
      </c>
      <c r="J122" s="20">
        <v>0</v>
      </c>
      <c r="K122" s="8">
        <v>31610</v>
      </c>
      <c r="L122" s="8">
        <v>31817</v>
      </c>
      <c r="M122" s="20">
        <v>0</v>
      </c>
      <c r="N122" s="24">
        <f t="shared" si="30"/>
        <v>31817</v>
      </c>
      <c r="O122" s="24">
        <v>0</v>
      </c>
      <c r="P122" s="454">
        <f t="shared" si="20"/>
        <v>1.0065485605820943</v>
      </c>
      <c r="Q122" s="292">
        <f t="shared" si="27"/>
        <v>0.0009059260171692039</v>
      </c>
      <c r="R122" s="293">
        <f t="shared" si="28"/>
        <v>0.0009702474919390507</v>
      </c>
    </row>
    <row r="123" spans="1:18" ht="0.75" customHeight="1" hidden="1">
      <c r="A123" s="30"/>
      <c r="B123" s="31"/>
      <c r="C123" s="29" t="s">
        <v>523</v>
      </c>
      <c r="D123" s="8">
        <v>673201</v>
      </c>
      <c r="E123" s="20">
        <v>5676</v>
      </c>
      <c r="F123" s="20">
        <v>0</v>
      </c>
      <c r="G123" s="20">
        <v>0</v>
      </c>
      <c r="H123" s="20"/>
      <c r="I123" s="20">
        <v>0</v>
      </c>
      <c r="J123" s="20">
        <v>0</v>
      </c>
      <c r="K123" s="8">
        <v>0</v>
      </c>
      <c r="L123" s="8"/>
      <c r="M123" s="20"/>
      <c r="N123" s="24">
        <f t="shared" si="30"/>
        <v>0</v>
      </c>
      <c r="O123" s="24"/>
      <c r="P123" s="454" t="e">
        <f t="shared" si="20"/>
        <v>#DIV/0!</v>
      </c>
      <c r="Q123" s="292">
        <f t="shared" si="27"/>
        <v>0</v>
      </c>
      <c r="R123" s="293">
        <f t="shared" si="28"/>
        <v>0</v>
      </c>
    </row>
    <row r="124" spans="1:18" ht="15.75" customHeight="1">
      <c r="A124" s="30"/>
      <c r="B124" s="31" t="s">
        <v>485</v>
      </c>
      <c r="C124" s="29" t="s">
        <v>512</v>
      </c>
      <c r="D124" s="8"/>
      <c r="E124" s="20">
        <v>125516</v>
      </c>
      <c r="F124" s="20">
        <v>18656</v>
      </c>
      <c r="G124" s="20">
        <v>0</v>
      </c>
      <c r="H124" s="20">
        <v>70370</v>
      </c>
      <c r="I124" s="20">
        <v>0</v>
      </c>
      <c r="J124" s="20">
        <v>0</v>
      </c>
      <c r="K124" s="8">
        <v>78096</v>
      </c>
      <c r="L124" s="8">
        <v>58200</v>
      </c>
      <c r="M124" s="20">
        <v>0</v>
      </c>
      <c r="N124" s="24">
        <f t="shared" si="30"/>
        <v>58200</v>
      </c>
      <c r="O124" s="24">
        <v>0</v>
      </c>
      <c r="P124" s="454">
        <f t="shared" si="20"/>
        <v>0.7452366318377381</v>
      </c>
      <c r="Q124" s="292">
        <f t="shared" si="27"/>
        <v>0.002238190390283016</v>
      </c>
      <c r="R124" s="293">
        <f t="shared" si="28"/>
        <v>0.0017747871902081514</v>
      </c>
    </row>
    <row r="125" spans="1:18" ht="15.75" customHeight="1">
      <c r="A125" s="30"/>
      <c r="B125" s="31" t="s">
        <v>487</v>
      </c>
      <c r="C125" s="29" t="s">
        <v>488</v>
      </c>
      <c r="D125" s="8"/>
      <c r="E125" s="20">
        <v>60600</v>
      </c>
      <c r="F125" s="20">
        <v>0</v>
      </c>
      <c r="G125" s="20">
        <v>0</v>
      </c>
      <c r="H125" s="20">
        <v>70000</v>
      </c>
      <c r="I125" s="20">
        <v>0</v>
      </c>
      <c r="J125" s="20">
        <v>0</v>
      </c>
      <c r="K125" s="8">
        <v>61000</v>
      </c>
      <c r="L125" s="8">
        <v>45200</v>
      </c>
      <c r="M125" s="20">
        <v>0</v>
      </c>
      <c r="N125" s="24">
        <f t="shared" si="30"/>
        <v>45200</v>
      </c>
      <c r="O125" s="24">
        <v>0</v>
      </c>
      <c r="P125" s="454">
        <f t="shared" si="20"/>
        <v>0.740983606557377</v>
      </c>
      <c r="Q125" s="292">
        <f t="shared" si="27"/>
        <v>0.0017482279989661953</v>
      </c>
      <c r="R125" s="293">
        <f t="shared" si="28"/>
        <v>0.0013783570618111417</v>
      </c>
    </row>
    <row r="126" spans="1:18" ht="15.75" customHeight="1">
      <c r="A126" s="30"/>
      <c r="B126" s="31" t="s">
        <v>489</v>
      </c>
      <c r="C126" s="29" t="s">
        <v>585</v>
      </c>
      <c r="D126" s="8"/>
      <c r="E126" s="20"/>
      <c r="F126" s="20"/>
      <c r="G126" s="20"/>
      <c r="H126" s="20"/>
      <c r="I126" s="20"/>
      <c r="J126" s="20"/>
      <c r="K126" s="8">
        <v>0</v>
      </c>
      <c r="L126" s="8">
        <v>0</v>
      </c>
      <c r="M126" s="20">
        <v>0</v>
      </c>
      <c r="N126" s="24">
        <f>L126</f>
        <v>0</v>
      </c>
      <c r="O126" s="24">
        <v>0</v>
      </c>
      <c r="P126" s="454">
        <v>0</v>
      </c>
      <c r="Q126" s="292">
        <f t="shared" si="27"/>
        <v>0</v>
      </c>
      <c r="R126" s="293">
        <f t="shared" si="28"/>
        <v>0</v>
      </c>
    </row>
    <row r="127" spans="1:18" ht="13.5" customHeight="1">
      <c r="A127" s="30"/>
      <c r="B127" s="31" t="s">
        <v>491</v>
      </c>
      <c r="C127" s="29" t="s">
        <v>492</v>
      </c>
      <c r="D127" s="8"/>
      <c r="E127" s="20">
        <v>427481</v>
      </c>
      <c r="F127" s="20">
        <v>18859</v>
      </c>
      <c r="G127" s="20">
        <v>0</v>
      </c>
      <c r="H127" s="20">
        <v>385087</v>
      </c>
      <c r="I127" s="20">
        <v>0</v>
      </c>
      <c r="J127" s="20">
        <v>0</v>
      </c>
      <c r="K127" s="8">
        <v>379911</v>
      </c>
      <c r="L127" s="8">
        <v>347435</v>
      </c>
      <c r="M127" s="20">
        <v>0</v>
      </c>
      <c r="N127" s="24">
        <f t="shared" si="30"/>
        <v>347435</v>
      </c>
      <c r="O127" s="24">
        <v>0</v>
      </c>
      <c r="P127" s="454">
        <f t="shared" si="20"/>
        <v>0.9145168210449289</v>
      </c>
      <c r="Q127" s="292">
        <f t="shared" si="27"/>
        <v>0.010888049955987644</v>
      </c>
      <c r="R127" s="293">
        <f t="shared" si="28"/>
        <v>0.010594900127662699</v>
      </c>
    </row>
    <row r="128" spans="1:18" ht="13.5" customHeight="1" hidden="1">
      <c r="A128" s="30"/>
      <c r="B128" s="31" t="s">
        <v>987</v>
      </c>
      <c r="C128" s="29" t="s">
        <v>492</v>
      </c>
      <c r="D128" s="8"/>
      <c r="E128" s="20"/>
      <c r="F128" s="20"/>
      <c r="G128" s="20"/>
      <c r="H128" s="20"/>
      <c r="I128" s="20"/>
      <c r="J128" s="20"/>
      <c r="K128" s="8">
        <v>0</v>
      </c>
      <c r="L128" s="8">
        <v>0</v>
      </c>
      <c r="M128" s="20">
        <v>0</v>
      </c>
      <c r="N128" s="24">
        <f>L128</f>
        <v>0</v>
      </c>
      <c r="O128" s="24">
        <v>0</v>
      </c>
      <c r="P128" s="454" t="e">
        <f t="shared" si="20"/>
        <v>#DIV/0!</v>
      </c>
      <c r="Q128" s="292">
        <f t="shared" si="27"/>
        <v>0</v>
      </c>
      <c r="R128" s="293">
        <f t="shared" si="28"/>
        <v>0</v>
      </c>
    </row>
    <row r="129" spans="1:18" ht="13.5" customHeight="1">
      <c r="A129" s="30"/>
      <c r="B129" s="31" t="s">
        <v>258</v>
      </c>
      <c r="C129" s="29" t="s">
        <v>973</v>
      </c>
      <c r="D129" s="8"/>
      <c r="E129" s="20"/>
      <c r="F129" s="20"/>
      <c r="G129" s="20"/>
      <c r="H129" s="20"/>
      <c r="I129" s="20"/>
      <c r="J129" s="20"/>
      <c r="K129" s="8">
        <v>3600</v>
      </c>
      <c r="L129" s="8">
        <v>3600</v>
      </c>
      <c r="M129" s="20">
        <v>0</v>
      </c>
      <c r="N129" s="24">
        <f>L129</f>
        <v>3600</v>
      </c>
      <c r="O129" s="24">
        <v>0</v>
      </c>
      <c r="P129" s="454">
        <f t="shared" si="20"/>
        <v>1</v>
      </c>
      <c r="Q129" s="292">
        <f t="shared" si="27"/>
        <v>0.00010317411141439842</v>
      </c>
      <c r="R129" s="293">
        <f t="shared" si="28"/>
        <v>0.0001097806509407104</v>
      </c>
    </row>
    <row r="130" spans="1:18" ht="14.25" customHeight="1">
      <c r="A130" s="30"/>
      <c r="B130" s="31" t="s">
        <v>493</v>
      </c>
      <c r="C130" s="29" t="s">
        <v>494</v>
      </c>
      <c r="D130" s="8"/>
      <c r="E130" s="20">
        <v>10250</v>
      </c>
      <c r="F130" s="20">
        <v>761</v>
      </c>
      <c r="G130" s="20">
        <v>0</v>
      </c>
      <c r="H130" s="20">
        <v>7000</v>
      </c>
      <c r="I130" s="20">
        <v>0</v>
      </c>
      <c r="J130" s="20">
        <v>0</v>
      </c>
      <c r="K130" s="8">
        <v>8850</v>
      </c>
      <c r="L130" s="8">
        <v>8850</v>
      </c>
      <c r="M130" s="20">
        <v>0</v>
      </c>
      <c r="N130" s="24">
        <f t="shared" si="30"/>
        <v>8850</v>
      </c>
      <c r="O130" s="24">
        <v>0</v>
      </c>
      <c r="P130" s="454">
        <f t="shared" si="20"/>
        <v>1</v>
      </c>
      <c r="Q130" s="292">
        <f t="shared" si="27"/>
        <v>0.00025363635722706277</v>
      </c>
      <c r="R130" s="293">
        <f t="shared" si="28"/>
        <v>0.00026987743356257974</v>
      </c>
    </row>
    <row r="131" spans="1:18" ht="14.25" customHeight="1">
      <c r="A131" s="30"/>
      <c r="B131" s="31" t="s">
        <v>415</v>
      </c>
      <c r="C131" s="29" t="s">
        <v>416</v>
      </c>
      <c r="D131" s="8"/>
      <c r="E131" s="20"/>
      <c r="F131" s="20"/>
      <c r="G131" s="20"/>
      <c r="H131" s="20">
        <v>1000</v>
      </c>
      <c r="I131" s="20">
        <v>0</v>
      </c>
      <c r="J131" s="20">
        <v>0</v>
      </c>
      <c r="K131" s="8">
        <v>3000</v>
      </c>
      <c r="L131" s="8">
        <v>2000</v>
      </c>
      <c r="M131" s="20">
        <v>0</v>
      </c>
      <c r="N131" s="24">
        <f t="shared" si="30"/>
        <v>2000</v>
      </c>
      <c r="O131" s="24">
        <v>0</v>
      </c>
      <c r="P131" s="454">
        <f t="shared" si="20"/>
        <v>0.6666666666666666</v>
      </c>
      <c r="Q131" s="292">
        <f t="shared" si="27"/>
        <v>8.597842617866535E-05</v>
      </c>
      <c r="R131" s="293">
        <f t="shared" si="28"/>
        <v>6.098925052261689E-05</v>
      </c>
    </row>
    <row r="132" spans="1:18" ht="15.75" customHeight="1">
      <c r="A132" s="30"/>
      <c r="B132" s="31" t="s">
        <v>495</v>
      </c>
      <c r="C132" s="29" t="s">
        <v>496</v>
      </c>
      <c r="D132" s="8"/>
      <c r="E132" s="20">
        <v>14454</v>
      </c>
      <c r="F132" s="20">
        <v>0</v>
      </c>
      <c r="G132" s="20">
        <v>761</v>
      </c>
      <c r="H132" s="20">
        <v>11800</v>
      </c>
      <c r="I132" s="20">
        <v>0</v>
      </c>
      <c r="J132" s="20">
        <v>0</v>
      </c>
      <c r="K132" s="8">
        <v>587</v>
      </c>
      <c r="L132" s="8">
        <v>617</v>
      </c>
      <c r="M132" s="20">
        <v>0</v>
      </c>
      <c r="N132" s="24">
        <f t="shared" si="30"/>
        <v>617</v>
      </c>
      <c r="O132" s="24">
        <v>0</v>
      </c>
      <c r="P132" s="454">
        <f t="shared" si="20"/>
        <v>1.051107325383305</v>
      </c>
      <c r="Q132" s="292">
        <f t="shared" si="27"/>
        <v>1.682311205562552E-05</v>
      </c>
      <c r="R132" s="293">
        <f t="shared" si="28"/>
        <v>1.881518378622731E-05</v>
      </c>
    </row>
    <row r="133" spans="1:18" ht="15.75" customHeight="1">
      <c r="A133" s="30"/>
      <c r="B133" s="31" t="s">
        <v>497</v>
      </c>
      <c r="C133" s="29" t="s">
        <v>498</v>
      </c>
      <c r="D133" s="8"/>
      <c r="E133" s="20">
        <v>40505</v>
      </c>
      <c r="F133" s="20">
        <v>0</v>
      </c>
      <c r="G133" s="20">
        <v>0</v>
      </c>
      <c r="H133" s="20">
        <v>29427</v>
      </c>
      <c r="I133" s="20">
        <v>0</v>
      </c>
      <c r="J133" s="20">
        <v>0</v>
      </c>
      <c r="K133" s="8">
        <v>34898</v>
      </c>
      <c r="L133" s="8">
        <v>32363</v>
      </c>
      <c r="M133" s="20">
        <v>0</v>
      </c>
      <c r="N133" s="24">
        <f t="shared" si="30"/>
        <v>32363</v>
      </c>
      <c r="O133" s="24">
        <v>0</v>
      </c>
      <c r="P133" s="454">
        <f t="shared" si="20"/>
        <v>0.9273597340821823</v>
      </c>
      <c r="Q133" s="292">
        <f aca="true" t="shared" si="31" ref="Q133:Q155">K133/$K$662</f>
        <v>0.0010001583722610212</v>
      </c>
      <c r="R133" s="293">
        <f t="shared" si="28"/>
        <v>0.000986897557331725</v>
      </c>
    </row>
    <row r="134" spans="1:18" ht="16.5" customHeight="1" hidden="1">
      <c r="A134" s="30"/>
      <c r="B134" s="31" t="s">
        <v>303</v>
      </c>
      <c r="C134" s="29" t="s">
        <v>322</v>
      </c>
      <c r="D134" s="8"/>
      <c r="E134" s="20">
        <v>2563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8">
        <v>0</v>
      </c>
      <c r="L134" s="8"/>
      <c r="M134" s="20">
        <v>0</v>
      </c>
      <c r="N134" s="24">
        <f t="shared" si="30"/>
        <v>0</v>
      </c>
      <c r="O134" s="24">
        <v>0</v>
      </c>
      <c r="P134" s="454" t="e">
        <f t="shared" si="20"/>
        <v>#DIV/0!</v>
      </c>
      <c r="Q134" s="292">
        <f t="shared" si="31"/>
        <v>0</v>
      </c>
      <c r="R134" s="293">
        <f t="shared" si="28"/>
        <v>0</v>
      </c>
    </row>
    <row r="135" spans="1:18" ht="15.75" customHeight="1">
      <c r="A135" s="17"/>
      <c r="B135" s="32" t="s">
        <v>513</v>
      </c>
      <c r="C135" s="29" t="s">
        <v>514</v>
      </c>
      <c r="D135" s="8">
        <v>41000</v>
      </c>
      <c r="E135" s="20">
        <v>17600</v>
      </c>
      <c r="F135" s="20">
        <v>0</v>
      </c>
      <c r="G135" s="20">
        <v>0</v>
      </c>
      <c r="H135" s="20">
        <v>153</v>
      </c>
      <c r="I135" s="20">
        <v>0</v>
      </c>
      <c r="J135" s="20">
        <v>0</v>
      </c>
      <c r="K135" s="8">
        <v>181</v>
      </c>
      <c r="L135" s="8">
        <v>250</v>
      </c>
      <c r="M135" s="20">
        <v>0</v>
      </c>
      <c r="N135" s="24">
        <f t="shared" si="30"/>
        <v>250</v>
      </c>
      <c r="O135" s="24">
        <v>0</v>
      </c>
      <c r="P135" s="454">
        <f aca="true" t="shared" si="32" ref="P135:P197">L135/K135</f>
        <v>1.3812154696132597</v>
      </c>
      <c r="Q135" s="292">
        <f t="shared" si="31"/>
        <v>5.18736504611281E-06</v>
      </c>
      <c r="R135" s="293">
        <f t="shared" si="28"/>
        <v>7.623656315327111E-06</v>
      </c>
    </row>
    <row r="136" spans="1:18" ht="13.5" customHeight="1">
      <c r="A136" s="17"/>
      <c r="B136" s="32" t="s">
        <v>286</v>
      </c>
      <c r="C136" s="29" t="s">
        <v>990</v>
      </c>
      <c r="D136" s="8"/>
      <c r="E136" s="20"/>
      <c r="F136" s="20"/>
      <c r="G136" s="20"/>
      <c r="H136" s="20">
        <v>500</v>
      </c>
      <c r="I136" s="20">
        <v>0</v>
      </c>
      <c r="J136" s="20">
        <v>0</v>
      </c>
      <c r="K136" s="8">
        <v>550</v>
      </c>
      <c r="L136" s="8">
        <v>2000</v>
      </c>
      <c r="M136" s="20">
        <v>0</v>
      </c>
      <c r="N136" s="24">
        <f t="shared" si="30"/>
        <v>2000</v>
      </c>
      <c r="O136" s="24">
        <v>0</v>
      </c>
      <c r="P136" s="454">
        <f t="shared" si="32"/>
        <v>3.6363636363636362</v>
      </c>
      <c r="Q136" s="292">
        <f t="shared" si="31"/>
        <v>1.576271146608865E-05</v>
      </c>
      <c r="R136" s="293">
        <f t="shared" si="28"/>
        <v>6.098925052261689E-05</v>
      </c>
    </row>
    <row r="137" spans="1:18" ht="13.5" customHeight="1">
      <c r="A137" s="17"/>
      <c r="B137" s="32" t="s">
        <v>538</v>
      </c>
      <c r="C137" s="29" t="s">
        <v>466</v>
      </c>
      <c r="D137" s="8"/>
      <c r="E137" s="20"/>
      <c r="F137" s="20"/>
      <c r="G137" s="20"/>
      <c r="H137" s="20"/>
      <c r="I137" s="20"/>
      <c r="J137" s="20"/>
      <c r="K137" s="8">
        <v>0</v>
      </c>
      <c r="L137" s="8">
        <v>10000</v>
      </c>
      <c r="M137" s="20">
        <v>0</v>
      </c>
      <c r="N137" s="24">
        <v>0</v>
      </c>
      <c r="O137" s="24">
        <f>L137</f>
        <v>10000</v>
      </c>
      <c r="P137" s="454">
        <v>0</v>
      </c>
      <c r="Q137" s="292">
        <f t="shared" si="31"/>
        <v>0</v>
      </c>
      <c r="R137" s="293">
        <f t="shared" si="28"/>
        <v>0.0003049462526130844</v>
      </c>
    </row>
    <row r="138" spans="1:18" ht="61.5" customHeight="1">
      <c r="A138" s="30"/>
      <c r="B138" s="31" t="s">
        <v>220</v>
      </c>
      <c r="C138" s="29" t="s">
        <v>221</v>
      </c>
      <c r="D138" s="8"/>
      <c r="E138" s="20"/>
      <c r="F138" s="20"/>
      <c r="G138" s="20"/>
      <c r="H138" s="20"/>
      <c r="I138" s="20"/>
      <c r="J138" s="20"/>
      <c r="K138" s="8">
        <v>0</v>
      </c>
      <c r="L138" s="8">
        <v>42000</v>
      </c>
      <c r="M138" s="20">
        <v>0</v>
      </c>
      <c r="N138" s="24">
        <v>0</v>
      </c>
      <c r="O138" s="24">
        <f>L138</f>
        <v>42000</v>
      </c>
      <c r="P138" s="454">
        <v>0</v>
      </c>
      <c r="Q138" s="292">
        <f t="shared" si="31"/>
        <v>0</v>
      </c>
      <c r="R138" s="293">
        <f t="shared" si="28"/>
        <v>0.0012807742609749547</v>
      </c>
    </row>
    <row r="139" spans="1:18" ht="14.25" customHeight="1">
      <c r="A139" s="30"/>
      <c r="B139" s="31" t="s">
        <v>517</v>
      </c>
      <c r="C139" s="29" t="s">
        <v>376</v>
      </c>
      <c r="D139" s="8"/>
      <c r="E139" s="20"/>
      <c r="F139" s="20"/>
      <c r="G139" s="20"/>
      <c r="H139" s="20"/>
      <c r="I139" s="20"/>
      <c r="J139" s="20"/>
      <c r="K139" s="8">
        <v>25000</v>
      </c>
      <c r="L139" s="8">
        <v>0</v>
      </c>
      <c r="M139" s="20">
        <v>0</v>
      </c>
      <c r="N139" s="24">
        <v>0</v>
      </c>
      <c r="O139" s="24">
        <f>L139</f>
        <v>0</v>
      </c>
      <c r="P139" s="454">
        <f t="shared" si="32"/>
        <v>0</v>
      </c>
      <c r="Q139" s="292">
        <f t="shared" si="31"/>
        <v>0.0007164868848222113</v>
      </c>
      <c r="R139" s="293">
        <f t="shared" si="28"/>
        <v>0</v>
      </c>
    </row>
    <row r="140" spans="1:18" ht="15" customHeight="1">
      <c r="A140" s="17" t="s">
        <v>552</v>
      </c>
      <c r="B140" s="27"/>
      <c r="C140" s="4" t="s">
        <v>553</v>
      </c>
      <c r="D140" s="7">
        <f>D142</f>
        <v>22000</v>
      </c>
      <c r="E140" s="7">
        <f>E142+E143+E144+E146+E147+E148</f>
        <v>25987</v>
      </c>
      <c r="F140" s="7">
        <f>F142+F143+F144+F146+F147+F148</f>
        <v>0</v>
      </c>
      <c r="G140" s="7">
        <f>G142+G143+G144+G146+G147+G148</f>
        <v>0</v>
      </c>
      <c r="H140" s="7">
        <f>H141+H142+H143+H146+H147+H148</f>
        <v>14177</v>
      </c>
      <c r="I140" s="7">
        <f>I141+I142+I143+I146+I147+I148</f>
        <v>0</v>
      </c>
      <c r="J140" s="7">
        <f>J141+J142+J143+J146+J147+J148</f>
        <v>0</v>
      </c>
      <c r="K140" s="7">
        <f>SUM(K141:K148)</f>
        <v>13488</v>
      </c>
      <c r="L140" s="7">
        <f>L141+L142+L143+L145+L146+L147+L148</f>
        <v>13000</v>
      </c>
      <c r="M140" s="7">
        <f>M142+M143+M145+M146+M147+M148+M141</f>
        <v>13000</v>
      </c>
      <c r="N140" s="19">
        <f>N141+N142+N143+N145+N146+N147+N148</f>
        <v>0</v>
      </c>
      <c r="O140" s="19">
        <f>O141+O142+O143+O145+O146+O147+O148</f>
        <v>0</v>
      </c>
      <c r="P140" s="454">
        <f t="shared" si="32"/>
        <v>0.9638196915776986</v>
      </c>
      <c r="Q140" s="292">
        <f t="shared" si="31"/>
        <v>0.0003865590040992794</v>
      </c>
      <c r="R140" s="293">
        <f aca="true" t="shared" si="33" ref="R140:R154">L140/$L$662</f>
        <v>0.0003964301283970098</v>
      </c>
    </row>
    <row r="141" spans="1:18" ht="16.5" customHeight="1">
      <c r="A141" s="17"/>
      <c r="B141" s="31" t="s">
        <v>473</v>
      </c>
      <c r="C141" s="29" t="s">
        <v>542</v>
      </c>
      <c r="D141" s="20"/>
      <c r="E141" s="20"/>
      <c r="F141" s="20"/>
      <c r="G141" s="20"/>
      <c r="H141" s="20">
        <v>5842</v>
      </c>
      <c r="I141" s="20">
        <v>0</v>
      </c>
      <c r="J141" s="20">
        <v>0</v>
      </c>
      <c r="K141" s="8">
        <v>7120</v>
      </c>
      <c r="L141" s="8">
        <v>6300</v>
      </c>
      <c r="M141" s="20">
        <f>L141</f>
        <v>6300</v>
      </c>
      <c r="N141" s="21">
        <v>0</v>
      </c>
      <c r="O141" s="21">
        <v>0</v>
      </c>
      <c r="P141" s="454">
        <f t="shared" si="32"/>
        <v>0.8848314606741573</v>
      </c>
      <c r="Q141" s="292">
        <f t="shared" si="31"/>
        <v>0.00020405546479736577</v>
      </c>
      <c r="R141" s="293">
        <f t="shared" si="33"/>
        <v>0.0001921161391462432</v>
      </c>
    </row>
    <row r="142" spans="1:18" ht="15.75" customHeight="1">
      <c r="A142" s="30"/>
      <c r="B142" s="31" t="s">
        <v>508</v>
      </c>
      <c r="C142" s="29" t="s">
        <v>554</v>
      </c>
      <c r="D142" s="8">
        <v>22000</v>
      </c>
      <c r="E142" s="20">
        <v>963</v>
      </c>
      <c r="F142" s="20">
        <v>0</v>
      </c>
      <c r="G142" s="20">
        <v>0</v>
      </c>
      <c r="H142" s="20">
        <v>465</v>
      </c>
      <c r="I142" s="20">
        <v>0</v>
      </c>
      <c r="J142" s="20">
        <v>0</v>
      </c>
      <c r="K142" s="8">
        <v>560</v>
      </c>
      <c r="L142" s="8">
        <v>560</v>
      </c>
      <c r="M142" s="20">
        <f aca="true" t="shared" si="34" ref="M142:M148">L142</f>
        <v>560</v>
      </c>
      <c r="N142" s="24">
        <v>0</v>
      </c>
      <c r="O142" s="24">
        <v>0</v>
      </c>
      <c r="P142" s="454">
        <f t="shared" si="32"/>
        <v>1</v>
      </c>
      <c r="Q142" s="292">
        <f t="shared" si="31"/>
        <v>1.6049306220017532E-05</v>
      </c>
      <c r="R142" s="293">
        <f t="shared" si="33"/>
        <v>1.707699014633273E-05</v>
      </c>
    </row>
    <row r="143" spans="1:18" ht="15.75" customHeight="1">
      <c r="A143" s="30"/>
      <c r="B143" s="31" t="s">
        <v>483</v>
      </c>
      <c r="C143" s="29" t="s">
        <v>484</v>
      </c>
      <c r="D143" s="8"/>
      <c r="E143" s="20">
        <v>132</v>
      </c>
      <c r="F143" s="20">
        <v>0</v>
      </c>
      <c r="G143" s="20">
        <v>0</v>
      </c>
      <c r="H143" s="20">
        <v>66</v>
      </c>
      <c r="I143" s="20">
        <v>0</v>
      </c>
      <c r="J143" s="20">
        <v>0</v>
      </c>
      <c r="K143" s="8">
        <v>80</v>
      </c>
      <c r="L143" s="8">
        <v>80</v>
      </c>
      <c r="M143" s="20">
        <f t="shared" si="34"/>
        <v>80</v>
      </c>
      <c r="N143" s="24">
        <v>0</v>
      </c>
      <c r="O143" s="24">
        <v>0</v>
      </c>
      <c r="P143" s="454">
        <f t="shared" si="32"/>
        <v>1</v>
      </c>
      <c r="Q143" s="292">
        <f t="shared" si="31"/>
        <v>2.292758031431076E-06</v>
      </c>
      <c r="R143" s="293">
        <f t="shared" si="33"/>
        <v>2.4395700209046757E-06</v>
      </c>
    </row>
    <row r="144" spans="1:18" ht="15.75" customHeight="1" hidden="1">
      <c r="A144" s="30"/>
      <c r="B144" s="31"/>
      <c r="C144" s="29" t="s">
        <v>523</v>
      </c>
      <c r="D144" s="8"/>
      <c r="E144" s="20">
        <v>16126</v>
      </c>
      <c r="F144" s="20">
        <v>0</v>
      </c>
      <c r="G144" s="20">
        <v>0</v>
      </c>
      <c r="H144" s="20"/>
      <c r="I144" s="20"/>
      <c r="J144" s="20"/>
      <c r="K144" s="8">
        <v>0</v>
      </c>
      <c r="L144" s="8"/>
      <c r="M144" s="20">
        <f t="shared" si="34"/>
        <v>0</v>
      </c>
      <c r="N144" s="24"/>
      <c r="O144" s="24"/>
      <c r="P144" s="454" t="e">
        <f t="shared" si="32"/>
        <v>#DIV/0!</v>
      </c>
      <c r="Q144" s="292">
        <f t="shared" si="31"/>
        <v>0</v>
      </c>
      <c r="R144" s="293">
        <f t="shared" si="33"/>
        <v>0</v>
      </c>
    </row>
    <row r="145" spans="1:18" ht="15.75" customHeight="1">
      <c r="A145" s="30"/>
      <c r="B145" s="31" t="s">
        <v>256</v>
      </c>
      <c r="C145" s="29" t="s">
        <v>257</v>
      </c>
      <c r="D145" s="8"/>
      <c r="E145" s="20"/>
      <c r="F145" s="20"/>
      <c r="G145" s="20"/>
      <c r="H145" s="20"/>
      <c r="I145" s="20"/>
      <c r="J145" s="20"/>
      <c r="K145" s="8">
        <v>4150</v>
      </c>
      <c r="L145" s="8">
        <v>4150</v>
      </c>
      <c r="M145" s="20">
        <f>L145</f>
        <v>4150</v>
      </c>
      <c r="N145" s="24">
        <v>0</v>
      </c>
      <c r="O145" s="24">
        <v>0</v>
      </c>
      <c r="P145" s="454">
        <f t="shared" si="32"/>
        <v>1</v>
      </c>
      <c r="Q145" s="292">
        <f t="shared" si="31"/>
        <v>0.00011893682288048706</v>
      </c>
      <c r="R145" s="293">
        <f t="shared" si="33"/>
        <v>0.00012655269483443005</v>
      </c>
    </row>
    <row r="146" spans="1:18" ht="16.5" customHeight="1">
      <c r="A146" s="30"/>
      <c r="B146" s="31" t="s">
        <v>485</v>
      </c>
      <c r="C146" s="29" t="s">
        <v>512</v>
      </c>
      <c r="D146" s="8"/>
      <c r="E146" s="20">
        <v>6208</v>
      </c>
      <c r="F146" s="20">
        <v>0</v>
      </c>
      <c r="G146" s="20">
        <v>0</v>
      </c>
      <c r="H146" s="20">
        <v>3642</v>
      </c>
      <c r="I146" s="20">
        <v>0</v>
      </c>
      <c r="J146" s="20">
        <v>0</v>
      </c>
      <c r="K146" s="8">
        <v>878</v>
      </c>
      <c r="L146" s="8">
        <v>810</v>
      </c>
      <c r="M146" s="20">
        <f t="shared" si="34"/>
        <v>810</v>
      </c>
      <c r="N146" s="24">
        <v>0</v>
      </c>
      <c r="O146" s="24">
        <v>0</v>
      </c>
      <c r="P146" s="454">
        <f t="shared" si="32"/>
        <v>0.9225512528473804</v>
      </c>
      <c r="Q146" s="292">
        <f t="shared" si="31"/>
        <v>2.516301939495606E-05</v>
      </c>
      <c r="R146" s="293">
        <f t="shared" si="33"/>
        <v>2.470064646165984E-05</v>
      </c>
    </row>
    <row r="147" spans="1:18" ht="15.75" customHeight="1">
      <c r="A147" s="30"/>
      <c r="B147" s="31" t="s">
        <v>491</v>
      </c>
      <c r="C147" s="29" t="s">
        <v>492</v>
      </c>
      <c r="D147" s="8"/>
      <c r="E147" s="20">
        <v>2165</v>
      </c>
      <c r="F147" s="20">
        <v>0</v>
      </c>
      <c r="G147" s="20">
        <v>0</v>
      </c>
      <c r="H147" s="20">
        <v>3948</v>
      </c>
      <c r="I147" s="20">
        <v>0</v>
      </c>
      <c r="J147" s="20">
        <v>0</v>
      </c>
      <c r="K147" s="8">
        <v>458</v>
      </c>
      <c r="L147" s="8">
        <v>850</v>
      </c>
      <c r="M147" s="20">
        <f t="shared" si="34"/>
        <v>850</v>
      </c>
      <c r="N147" s="24">
        <v>0</v>
      </c>
      <c r="O147" s="24">
        <v>0</v>
      </c>
      <c r="P147" s="454">
        <f t="shared" si="32"/>
        <v>1.8558951965065502</v>
      </c>
      <c r="Q147" s="292">
        <f t="shared" si="31"/>
        <v>1.312603972994291E-05</v>
      </c>
      <c r="R147" s="293">
        <f t="shared" si="33"/>
        <v>2.592043147211218E-05</v>
      </c>
    </row>
    <row r="148" spans="1:18" ht="15.75" customHeight="1">
      <c r="A148" s="30"/>
      <c r="B148" s="31" t="s">
        <v>493</v>
      </c>
      <c r="C148" s="29" t="s">
        <v>494</v>
      </c>
      <c r="D148" s="8"/>
      <c r="E148" s="20">
        <v>393</v>
      </c>
      <c r="F148" s="20">
        <v>0</v>
      </c>
      <c r="G148" s="20">
        <v>0</v>
      </c>
      <c r="H148" s="20">
        <v>214</v>
      </c>
      <c r="I148" s="20">
        <v>0</v>
      </c>
      <c r="J148" s="20">
        <v>0</v>
      </c>
      <c r="K148" s="8">
        <v>242</v>
      </c>
      <c r="L148" s="8">
        <v>250</v>
      </c>
      <c r="M148" s="20">
        <f t="shared" si="34"/>
        <v>250</v>
      </c>
      <c r="N148" s="24">
        <v>0</v>
      </c>
      <c r="O148" s="24">
        <v>0</v>
      </c>
      <c r="P148" s="454">
        <f t="shared" si="32"/>
        <v>1.0330578512396693</v>
      </c>
      <c r="Q148" s="292">
        <f t="shared" si="31"/>
        <v>6.935593045079005E-06</v>
      </c>
      <c r="R148" s="293">
        <f t="shared" si="33"/>
        <v>7.623656315327111E-06</v>
      </c>
    </row>
    <row r="149" spans="1:18" s="37" customFormat="1" ht="24.75" customHeight="1">
      <c r="A149" s="17" t="s">
        <v>766</v>
      </c>
      <c r="B149" s="27"/>
      <c r="C149" s="4" t="s">
        <v>767</v>
      </c>
      <c r="D149" s="7"/>
      <c r="E149" s="7"/>
      <c r="F149" s="7"/>
      <c r="G149" s="7"/>
      <c r="H149" s="7"/>
      <c r="I149" s="7"/>
      <c r="J149" s="7"/>
      <c r="K149" s="7">
        <f>SUM(K150:K153)</f>
        <v>12550</v>
      </c>
      <c r="L149" s="7">
        <f>SUM(L150:L153)</f>
        <v>13000</v>
      </c>
      <c r="M149" s="7">
        <f>SUM(M150:M153)</f>
        <v>0</v>
      </c>
      <c r="N149" s="7">
        <f>SUM(N150:N153)</f>
        <v>11000</v>
      </c>
      <c r="O149" s="7">
        <f>SUM(O150:O153)</f>
        <v>2000</v>
      </c>
      <c r="P149" s="454">
        <f t="shared" si="32"/>
        <v>1.0358565737051793</v>
      </c>
      <c r="Q149" s="292">
        <f t="shared" si="31"/>
        <v>0.00035967641618075004</v>
      </c>
      <c r="R149" s="293">
        <f t="shared" si="33"/>
        <v>0.0003964301283970098</v>
      </c>
    </row>
    <row r="150" spans="1:18" ht="15.75" customHeight="1">
      <c r="A150" s="30"/>
      <c r="B150" s="31" t="s">
        <v>538</v>
      </c>
      <c r="C150" s="29" t="s">
        <v>768</v>
      </c>
      <c r="D150" s="8"/>
      <c r="E150" s="20"/>
      <c r="F150" s="20"/>
      <c r="G150" s="20"/>
      <c r="H150" s="20"/>
      <c r="I150" s="20"/>
      <c r="J150" s="20"/>
      <c r="K150" s="8">
        <v>2000</v>
      </c>
      <c r="L150" s="8">
        <v>2000</v>
      </c>
      <c r="M150" s="20">
        <v>0</v>
      </c>
      <c r="N150" s="24">
        <v>0</v>
      </c>
      <c r="O150" s="24">
        <f>L150</f>
        <v>2000</v>
      </c>
      <c r="P150" s="454">
        <f t="shared" si="32"/>
        <v>1</v>
      </c>
      <c r="Q150" s="292">
        <f t="shared" si="31"/>
        <v>5.73189507857769E-05</v>
      </c>
      <c r="R150" s="293">
        <f t="shared" si="33"/>
        <v>6.098925052261689E-05</v>
      </c>
    </row>
    <row r="151" spans="1:18" ht="15.75" customHeight="1">
      <c r="A151" s="30"/>
      <c r="B151" s="31" t="s">
        <v>256</v>
      </c>
      <c r="C151" s="29" t="s">
        <v>769</v>
      </c>
      <c r="D151" s="8"/>
      <c r="E151" s="20"/>
      <c r="F151" s="20"/>
      <c r="G151" s="20"/>
      <c r="H151" s="20"/>
      <c r="I151" s="20"/>
      <c r="J151" s="20"/>
      <c r="K151" s="8">
        <v>1850</v>
      </c>
      <c r="L151" s="8">
        <v>1800</v>
      </c>
      <c r="M151" s="20">
        <v>0</v>
      </c>
      <c r="N151" s="24">
        <f>L151</f>
        <v>1800</v>
      </c>
      <c r="O151" s="24">
        <v>0</v>
      </c>
      <c r="P151" s="454">
        <f t="shared" si="32"/>
        <v>0.972972972972973</v>
      </c>
      <c r="Q151" s="292">
        <f t="shared" si="31"/>
        <v>5.302002947684363E-05</v>
      </c>
      <c r="R151" s="293">
        <f t="shared" si="33"/>
        <v>5.48903254703552E-05</v>
      </c>
    </row>
    <row r="152" spans="1:18" ht="15.75" customHeight="1">
      <c r="A152" s="30"/>
      <c r="B152" s="31" t="s">
        <v>485</v>
      </c>
      <c r="C152" s="29" t="s">
        <v>486</v>
      </c>
      <c r="D152" s="8"/>
      <c r="E152" s="20"/>
      <c r="F152" s="20"/>
      <c r="G152" s="20"/>
      <c r="H152" s="20"/>
      <c r="I152" s="20"/>
      <c r="J152" s="20"/>
      <c r="K152" s="8">
        <v>4000</v>
      </c>
      <c r="L152" s="8">
        <v>4000</v>
      </c>
      <c r="M152" s="20">
        <v>0</v>
      </c>
      <c r="N152" s="24">
        <f aca="true" t="shared" si="35" ref="N152:N167">L152</f>
        <v>4000</v>
      </c>
      <c r="O152" s="24">
        <v>0</v>
      </c>
      <c r="P152" s="454">
        <f t="shared" si="32"/>
        <v>1</v>
      </c>
      <c r="Q152" s="292">
        <f t="shared" si="31"/>
        <v>0.0001146379015715538</v>
      </c>
      <c r="R152" s="293">
        <f t="shared" si="33"/>
        <v>0.00012197850104523378</v>
      </c>
    </row>
    <row r="153" spans="1:18" ht="15.75" customHeight="1">
      <c r="A153" s="55"/>
      <c r="B153" s="307" t="s">
        <v>491</v>
      </c>
      <c r="C153" s="135" t="s">
        <v>586</v>
      </c>
      <c r="D153" s="78"/>
      <c r="E153" s="141"/>
      <c r="F153" s="141"/>
      <c r="G153" s="141"/>
      <c r="H153" s="141"/>
      <c r="I153" s="141"/>
      <c r="J153" s="141"/>
      <c r="K153" s="78">
        <v>4700</v>
      </c>
      <c r="L153" s="78">
        <v>5200</v>
      </c>
      <c r="M153" s="20">
        <v>0</v>
      </c>
      <c r="N153" s="24">
        <f t="shared" si="35"/>
        <v>5200</v>
      </c>
      <c r="O153" s="48">
        <v>0</v>
      </c>
      <c r="P153" s="454">
        <f t="shared" si="32"/>
        <v>1.1063829787234043</v>
      </c>
      <c r="Q153" s="292">
        <f t="shared" si="31"/>
        <v>0.0001346995343465757</v>
      </c>
      <c r="R153" s="293">
        <f t="shared" si="33"/>
        <v>0.0001585720513588039</v>
      </c>
    </row>
    <row r="154" spans="1:18" s="8" customFormat="1" ht="15.75" customHeight="1">
      <c r="A154" s="17" t="s">
        <v>555</v>
      </c>
      <c r="B154" s="27"/>
      <c r="C154" s="4" t="s">
        <v>556</v>
      </c>
      <c r="D154" s="7">
        <f>D155</f>
        <v>11000</v>
      </c>
      <c r="E154" s="7">
        <f>E155+E161</f>
        <v>10000</v>
      </c>
      <c r="F154" s="7">
        <f>F155+F161</f>
        <v>0</v>
      </c>
      <c r="G154" s="7">
        <f>G155+G161</f>
        <v>0</v>
      </c>
      <c r="H154" s="7">
        <f>H159+H161</f>
        <v>8900</v>
      </c>
      <c r="I154" s="7">
        <f>I159+I161</f>
        <v>0</v>
      </c>
      <c r="J154" s="7">
        <f>J159+J161</f>
        <v>0</v>
      </c>
      <c r="K154" s="7">
        <f>SUM(K158:K161)</f>
        <v>13375</v>
      </c>
      <c r="L154" s="7">
        <f>SUM(L158:L161)</f>
        <v>12000</v>
      </c>
      <c r="M154" s="7"/>
      <c r="N154" s="19">
        <f t="shared" si="35"/>
        <v>12000</v>
      </c>
      <c r="O154" s="19">
        <f>O159+O158+O160+O161</f>
        <v>0</v>
      </c>
      <c r="P154" s="454">
        <f t="shared" si="32"/>
        <v>0.897196261682243</v>
      </c>
      <c r="Q154" s="6">
        <f t="shared" si="31"/>
        <v>0.00038332048337988303</v>
      </c>
      <c r="R154" s="293">
        <f t="shared" si="33"/>
        <v>0.0003659355031357013</v>
      </c>
    </row>
    <row r="155" spans="1:18" ht="0.75" customHeight="1" hidden="1">
      <c r="A155" s="455"/>
      <c r="B155" s="456"/>
      <c r="C155" s="119" t="s">
        <v>523</v>
      </c>
      <c r="D155" s="40">
        <v>11000</v>
      </c>
      <c r="E155" s="241">
        <v>3000</v>
      </c>
      <c r="F155" s="241">
        <v>0</v>
      </c>
      <c r="G155" s="241">
        <v>0</v>
      </c>
      <c r="H155" s="241"/>
      <c r="I155" s="241"/>
      <c r="J155" s="241"/>
      <c r="K155" s="241"/>
      <c r="L155" s="241"/>
      <c r="M155" s="20">
        <f aca="true" t="shared" si="36" ref="M155:M167">L155</f>
        <v>0</v>
      </c>
      <c r="N155" s="24">
        <f t="shared" si="35"/>
        <v>0</v>
      </c>
      <c r="O155" s="53">
        <v>0</v>
      </c>
      <c r="P155" s="454" t="e">
        <f t="shared" si="32"/>
        <v>#DIV/0!</v>
      </c>
      <c r="Q155" s="292">
        <f t="shared" si="31"/>
        <v>0</v>
      </c>
      <c r="R155" s="293">
        <f>L155/$L$662</f>
        <v>0</v>
      </c>
    </row>
    <row r="156" spans="1:18" ht="0.75" customHeight="1" hidden="1">
      <c r="A156" s="30"/>
      <c r="B156" s="31"/>
      <c r="C156" s="29"/>
      <c r="D156" s="8"/>
      <c r="E156" s="20"/>
      <c r="F156" s="20"/>
      <c r="G156" s="20"/>
      <c r="H156" s="20"/>
      <c r="I156" s="20"/>
      <c r="J156" s="20"/>
      <c r="K156" s="20"/>
      <c r="L156" s="20"/>
      <c r="M156" s="20">
        <f t="shared" si="36"/>
        <v>0</v>
      </c>
      <c r="N156" s="24">
        <f t="shared" si="35"/>
        <v>0</v>
      </c>
      <c r="O156" s="24"/>
      <c r="P156" s="454" t="e">
        <f t="shared" si="32"/>
        <v>#DIV/0!</v>
      </c>
      <c r="Q156" s="292"/>
      <c r="R156" s="293"/>
    </row>
    <row r="157" spans="1:18" ht="0.75" customHeight="1">
      <c r="A157" s="30"/>
      <c r="B157" s="31"/>
      <c r="C157" s="29"/>
      <c r="D157" s="8"/>
      <c r="E157" s="20"/>
      <c r="F157" s="20"/>
      <c r="G157" s="20"/>
      <c r="H157" s="20"/>
      <c r="I157" s="20"/>
      <c r="J157" s="20"/>
      <c r="K157" s="20"/>
      <c r="L157" s="20"/>
      <c r="M157" s="20">
        <f t="shared" si="36"/>
        <v>0</v>
      </c>
      <c r="N157" s="24">
        <f t="shared" si="35"/>
        <v>0</v>
      </c>
      <c r="O157" s="24"/>
      <c r="P157" s="454" t="e">
        <f t="shared" si="32"/>
        <v>#DIV/0!</v>
      </c>
      <c r="Q157" s="292"/>
      <c r="R157" s="293"/>
    </row>
    <row r="158" spans="1:18" ht="15.75" customHeight="1">
      <c r="A158" s="30"/>
      <c r="B158" s="31" t="s">
        <v>256</v>
      </c>
      <c r="C158" s="29" t="s">
        <v>974</v>
      </c>
      <c r="D158" s="8"/>
      <c r="E158" s="20"/>
      <c r="F158" s="20"/>
      <c r="G158" s="20"/>
      <c r="H158" s="20"/>
      <c r="I158" s="20"/>
      <c r="J158" s="20"/>
      <c r="K158" s="8">
        <v>980</v>
      </c>
      <c r="L158" s="8">
        <v>0</v>
      </c>
      <c r="M158" s="20">
        <v>0</v>
      </c>
      <c r="N158" s="24">
        <f t="shared" si="35"/>
        <v>0</v>
      </c>
      <c r="O158" s="24">
        <v>0</v>
      </c>
      <c r="P158" s="454">
        <f t="shared" si="32"/>
        <v>0</v>
      </c>
      <c r="Q158" s="292">
        <f>K158/$K$662</f>
        <v>2.808628588503068E-05</v>
      </c>
      <c r="R158" s="293">
        <f>L158/$L$662</f>
        <v>0</v>
      </c>
    </row>
    <row r="159" spans="1:18" ht="15.75" customHeight="1">
      <c r="A159" s="30"/>
      <c r="B159" s="31" t="s">
        <v>485</v>
      </c>
      <c r="C159" s="29" t="s">
        <v>512</v>
      </c>
      <c r="D159" s="8"/>
      <c r="E159" s="20"/>
      <c r="F159" s="20"/>
      <c r="G159" s="20"/>
      <c r="H159" s="20">
        <v>800</v>
      </c>
      <c r="I159" s="20">
        <v>0</v>
      </c>
      <c r="J159" s="20">
        <v>0</v>
      </c>
      <c r="K159" s="8">
        <v>2000</v>
      </c>
      <c r="L159" s="8">
        <v>700</v>
      </c>
      <c r="M159" s="20">
        <v>0</v>
      </c>
      <c r="N159" s="24">
        <f t="shared" si="35"/>
        <v>700</v>
      </c>
      <c r="O159" s="24">
        <v>0</v>
      </c>
      <c r="P159" s="454">
        <f t="shared" si="32"/>
        <v>0.35</v>
      </c>
      <c r="Q159" s="292">
        <f>K159/$K$662</f>
        <v>5.73189507857769E-05</v>
      </c>
      <c r="R159" s="293">
        <f>L159/$L$662</f>
        <v>2.134623768291591E-05</v>
      </c>
    </row>
    <row r="160" spans="1:18" ht="15.75" customHeight="1">
      <c r="A160" s="30"/>
      <c r="B160" s="31" t="s">
        <v>491</v>
      </c>
      <c r="C160" s="29" t="s">
        <v>492</v>
      </c>
      <c r="D160" s="8"/>
      <c r="E160" s="20"/>
      <c r="F160" s="20"/>
      <c r="G160" s="20"/>
      <c r="H160" s="20"/>
      <c r="I160" s="20"/>
      <c r="J160" s="20"/>
      <c r="K160" s="8">
        <v>470</v>
      </c>
      <c r="L160" s="8">
        <v>418</v>
      </c>
      <c r="M160" s="20">
        <v>0</v>
      </c>
      <c r="N160" s="24">
        <f t="shared" si="35"/>
        <v>418</v>
      </c>
      <c r="O160" s="24">
        <v>0</v>
      </c>
      <c r="P160" s="454">
        <f t="shared" si="32"/>
        <v>0.8893617021276595</v>
      </c>
      <c r="Q160" s="292">
        <f>K160/$K$662</f>
        <v>1.346995343465757E-05</v>
      </c>
      <c r="R160" s="293">
        <f>L160/$L$662</f>
        <v>1.274675335922693E-05</v>
      </c>
    </row>
    <row r="161" spans="1:18" ht="16.5" customHeight="1">
      <c r="A161" s="30"/>
      <c r="B161" s="31" t="s">
        <v>495</v>
      </c>
      <c r="C161" s="29" t="s">
        <v>652</v>
      </c>
      <c r="D161" s="8"/>
      <c r="E161" s="20">
        <v>7000</v>
      </c>
      <c r="F161" s="20">
        <v>0</v>
      </c>
      <c r="G161" s="20">
        <v>0</v>
      </c>
      <c r="H161" s="20">
        <v>8100</v>
      </c>
      <c r="I161" s="20">
        <v>0</v>
      </c>
      <c r="J161" s="20">
        <v>0</v>
      </c>
      <c r="K161" s="8">
        <v>9925</v>
      </c>
      <c r="L161" s="8">
        <v>10882</v>
      </c>
      <c r="M161" s="20">
        <v>0</v>
      </c>
      <c r="N161" s="24">
        <f t="shared" si="35"/>
        <v>10882</v>
      </c>
      <c r="O161" s="24">
        <v>0</v>
      </c>
      <c r="P161" s="454">
        <f t="shared" si="32"/>
        <v>1.0964231738035264</v>
      </c>
      <c r="Q161" s="292">
        <f>K161/$K$662</f>
        <v>0.00028444529327441786</v>
      </c>
      <c r="R161" s="293">
        <f>L161/$L$662</f>
        <v>0.0003318425120935585</v>
      </c>
    </row>
    <row r="162" spans="1:18" ht="53.25" customHeight="1" hidden="1">
      <c r="A162" s="17" t="s">
        <v>289</v>
      </c>
      <c r="B162" s="27"/>
      <c r="C162" s="4" t="s">
        <v>296</v>
      </c>
      <c r="D162" s="7"/>
      <c r="E162" s="7"/>
      <c r="F162" s="7"/>
      <c r="G162" s="7"/>
      <c r="H162" s="7">
        <f aca="true" t="shared" si="37" ref="H162:O162">H163</f>
        <v>0</v>
      </c>
      <c r="I162" s="7">
        <f t="shared" si="37"/>
        <v>0</v>
      </c>
      <c r="J162" s="7">
        <f t="shared" si="37"/>
        <v>0</v>
      </c>
      <c r="K162" s="7">
        <f t="shared" si="37"/>
        <v>0</v>
      </c>
      <c r="L162" s="7"/>
      <c r="M162" s="20">
        <f t="shared" si="36"/>
        <v>0</v>
      </c>
      <c r="N162" s="24">
        <f t="shared" si="35"/>
        <v>0</v>
      </c>
      <c r="O162" s="7">
        <f t="shared" si="37"/>
        <v>0</v>
      </c>
      <c r="P162" s="440" t="e">
        <f t="shared" si="32"/>
        <v>#DIV/0!</v>
      </c>
      <c r="Q162" s="292">
        <f aca="true" t="shared" si="38" ref="Q162:Q196">K162/$K$662</f>
        <v>0</v>
      </c>
      <c r="R162" s="293">
        <f aca="true" t="shared" si="39" ref="R162:R196">L162/$L$662</f>
        <v>0</v>
      </c>
    </row>
    <row r="163" spans="1:18" ht="51" customHeight="1" hidden="1">
      <c r="A163" s="17" t="s">
        <v>290</v>
      </c>
      <c r="B163" s="27"/>
      <c r="C163" s="4" t="s">
        <v>304</v>
      </c>
      <c r="D163" s="7"/>
      <c r="E163" s="7"/>
      <c r="F163" s="7"/>
      <c r="G163" s="7"/>
      <c r="H163" s="7">
        <f aca="true" t="shared" si="40" ref="H163:O163">H164+H165+H166+H167</f>
        <v>0</v>
      </c>
      <c r="I163" s="7">
        <f t="shared" si="40"/>
        <v>0</v>
      </c>
      <c r="J163" s="7">
        <f t="shared" si="40"/>
        <v>0</v>
      </c>
      <c r="K163" s="7">
        <f t="shared" si="40"/>
        <v>0</v>
      </c>
      <c r="L163" s="7"/>
      <c r="M163" s="20">
        <f t="shared" si="36"/>
        <v>0</v>
      </c>
      <c r="N163" s="24">
        <f t="shared" si="35"/>
        <v>0</v>
      </c>
      <c r="O163" s="7">
        <f t="shared" si="40"/>
        <v>0</v>
      </c>
      <c r="P163" s="440" t="e">
        <f t="shared" si="32"/>
        <v>#DIV/0!</v>
      </c>
      <c r="Q163" s="292">
        <f t="shared" si="38"/>
        <v>0</v>
      </c>
      <c r="R163" s="293">
        <f t="shared" si="39"/>
        <v>0</v>
      </c>
    </row>
    <row r="164" spans="1:18" ht="16.5" customHeight="1" hidden="1">
      <c r="A164" s="30"/>
      <c r="B164" s="31" t="s">
        <v>473</v>
      </c>
      <c r="C164" s="29" t="s">
        <v>474</v>
      </c>
      <c r="D164" s="20"/>
      <c r="E164" s="20"/>
      <c r="F164" s="20"/>
      <c r="G164" s="20"/>
      <c r="H164" s="20">
        <v>0</v>
      </c>
      <c r="I164" s="20">
        <v>0</v>
      </c>
      <c r="J164" s="20">
        <v>0</v>
      </c>
      <c r="K164" s="20">
        <v>0</v>
      </c>
      <c r="L164" s="20"/>
      <c r="M164" s="20">
        <f t="shared" si="36"/>
        <v>0</v>
      </c>
      <c r="N164" s="24">
        <f t="shared" si="35"/>
        <v>0</v>
      </c>
      <c r="O164" s="21">
        <v>0</v>
      </c>
      <c r="P164" s="440" t="e">
        <f t="shared" si="32"/>
        <v>#DIV/0!</v>
      </c>
      <c r="Q164" s="292">
        <f t="shared" si="38"/>
        <v>0</v>
      </c>
      <c r="R164" s="293">
        <f t="shared" si="39"/>
        <v>0</v>
      </c>
    </row>
    <row r="165" spans="1:18" ht="14.25" customHeight="1" hidden="1">
      <c r="A165" s="30"/>
      <c r="B165" s="31" t="s">
        <v>485</v>
      </c>
      <c r="C165" s="29" t="s">
        <v>486</v>
      </c>
      <c r="D165" s="20"/>
      <c r="E165" s="20"/>
      <c r="F165" s="20"/>
      <c r="G165" s="20"/>
      <c r="H165" s="20">
        <v>0</v>
      </c>
      <c r="I165" s="20">
        <v>0</v>
      </c>
      <c r="J165" s="20">
        <v>0</v>
      </c>
      <c r="K165" s="20">
        <v>0</v>
      </c>
      <c r="L165" s="20"/>
      <c r="M165" s="20">
        <f t="shared" si="36"/>
        <v>0</v>
      </c>
      <c r="N165" s="24">
        <f t="shared" si="35"/>
        <v>0</v>
      </c>
      <c r="O165" s="21">
        <v>0</v>
      </c>
      <c r="P165" s="440" t="e">
        <f t="shared" si="32"/>
        <v>#DIV/0!</v>
      </c>
      <c r="Q165" s="292">
        <f t="shared" si="38"/>
        <v>0</v>
      </c>
      <c r="R165" s="293">
        <f t="shared" si="39"/>
        <v>0</v>
      </c>
    </row>
    <row r="166" spans="1:18" ht="14.25" customHeight="1" hidden="1">
      <c r="A166" s="30"/>
      <c r="B166" s="31" t="s">
        <v>491</v>
      </c>
      <c r="C166" s="29" t="s">
        <v>586</v>
      </c>
      <c r="D166" s="20"/>
      <c r="E166" s="20"/>
      <c r="F166" s="20"/>
      <c r="G166" s="20"/>
      <c r="H166" s="20">
        <v>0</v>
      </c>
      <c r="I166" s="20">
        <v>0</v>
      </c>
      <c r="J166" s="20">
        <v>0</v>
      </c>
      <c r="K166" s="20">
        <v>0</v>
      </c>
      <c r="L166" s="20"/>
      <c r="M166" s="20">
        <f t="shared" si="36"/>
        <v>0</v>
      </c>
      <c r="N166" s="24">
        <f t="shared" si="35"/>
        <v>0</v>
      </c>
      <c r="O166" s="21">
        <v>0</v>
      </c>
      <c r="P166" s="440" t="e">
        <f t="shared" si="32"/>
        <v>#DIV/0!</v>
      </c>
      <c r="Q166" s="292">
        <f t="shared" si="38"/>
        <v>0</v>
      </c>
      <c r="R166" s="293">
        <f t="shared" si="39"/>
        <v>0</v>
      </c>
    </row>
    <row r="167" spans="1:18" ht="15" customHeight="1" hidden="1">
      <c r="A167" s="30"/>
      <c r="B167" s="31" t="s">
        <v>493</v>
      </c>
      <c r="C167" s="29" t="s">
        <v>494</v>
      </c>
      <c r="D167" s="20"/>
      <c r="E167" s="20"/>
      <c r="F167" s="20"/>
      <c r="G167" s="20"/>
      <c r="H167" s="20">
        <v>0</v>
      </c>
      <c r="I167" s="20">
        <v>0</v>
      </c>
      <c r="J167" s="20">
        <v>0</v>
      </c>
      <c r="K167" s="20">
        <v>0</v>
      </c>
      <c r="L167" s="20"/>
      <c r="M167" s="20">
        <f t="shared" si="36"/>
        <v>0</v>
      </c>
      <c r="N167" s="24">
        <f t="shared" si="35"/>
        <v>0</v>
      </c>
      <c r="O167" s="21">
        <v>0</v>
      </c>
      <c r="P167" s="440" t="e">
        <f t="shared" si="32"/>
        <v>#DIV/0!</v>
      </c>
      <c r="Q167" s="292">
        <f t="shared" si="38"/>
        <v>0</v>
      </c>
      <c r="R167" s="293">
        <f t="shared" si="39"/>
        <v>0</v>
      </c>
    </row>
    <row r="168" spans="1:18" s="442" customFormat="1" ht="28.5" customHeight="1">
      <c r="A168" s="443" t="s">
        <v>557</v>
      </c>
      <c r="B168" s="447"/>
      <c r="C168" s="449" t="s">
        <v>558</v>
      </c>
      <c r="D168" s="444" t="e">
        <f aca="true" t="shared" si="41" ref="D168:J168">D169+D191</f>
        <v>#REF!</v>
      </c>
      <c r="E168" s="444" t="e">
        <f t="shared" si="41"/>
        <v>#REF!</v>
      </c>
      <c r="F168" s="444" t="e">
        <f t="shared" si="41"/>
        <v>#REF!</v>
      </c>
      <c r="G168" s="444" t="e">
        <f t="shared" si="41"/>
        <v>#REF!</v>
      </c>
      <c r="H168" s="444" t="e">
        <f t="shared" si="41"/>
        <v>#REF!</v>
      </c>
      <c r="I168" s="444" t="e">
        <f t="shared" si="41"/>
        <v>#REF!</v>
      </c>
      <c r="J168" s="444" t="e">
        <f t="shared" si="41"/>
        <v>#REF!</v>
      </c>
      <c r="K168" s="444">
        <f>K189+K191+K218</f>
        <v>2120000</v>
      </c>
      <c r="L168" s="444">
        <f>L189+L191+L218</f>
        <v>2310000</v>
      </c>
      <c r="M168" s="444">
        <f>M189+M191+M218</f>
        <v>2309000</v>
      </c>
      <c r="N168" s="444">
        <f>N189+N191+N218</f>
        <v>1000</v>
      </c>
      <c r="O168" s="444">
        <f>O189+O191+O218</f>
        <v>0</v>
      </c>
      <c r="P168" s="440">
        <f t="shared" si="32"/>
        <v>1.0896226415094339</v>
      </c>
      <c r="Q168" s="440">
        <f t="shared" si="38"/>
        <v>0.06075808783292351</v>
      </c>
      <c r="R168" s="441">
        <f t="shared" si="39"/>
        <v>0.07044258435362251</v>
      </c>
    </row>
    <row r="169" spans="1:18" ht="39.75" customHeight="1" hidden="1">
      <c r="A169" s="17" t="s">
        <v>559</v>
      </c>
      <c r="B169" s="27"/>
      <c r="C169" s="4" t="s">
        <v>570</v>
      </c>
      <c r="D169" s="7">
        <f>D171+D173+D174+D175+D176+D177+D178+D179</f>
        <v>4730178</v>
      </c>
      <c r="E169" s="7" t="e">
        <f>#REF!+E170+E171+E173+E174+E175+E176+E177+E178+E179+E180+E181+E183+E184+E185+E186+E187+E188+E172</f>
        <v>#REF!</v>
      </c>
      <c r="F169" s="7" t="e">
        <f>#REF!+F170+F171+F173+F174+F175+F176+F177+F178+F179+F180+F181+F183+F184+F185+F186+F187+F188+F172</f>
        <v>#REF!</v>
      </c>
      <c r="G169" s="7" t="e">
        <f>#REF!+G170+G171+G173+G174+G175+G176+G177+G178+G179+G180+G181+G183+G184+G185+G186+G187+G188+G172</f>
        <v>#REF!</v>
      </c>
      <c r="H169" s="7" t="e">
        <f>#REF!+H170+H171+H172+H173+H174+H175+H176+H177+H178+H179+H180+H181+H183+H184+H185+H186+H187+H188+H182</f>
        <v>#REF!</v>
      </c>
      <c r="I169" s="7" t="e">
        <f>#REF!+I170+I171+I172+I173+I174+I175+I176+I177+I178+I179+I180+I181+I183+I184+I185+I186+I187+I188+I182</f>
        <v>#REF!</v>
      </c>
      <c r="J169" s="7" t="e">
        <f>#REF!+J170+J171+J172+J173+J174+J175+J176+J177+J178+J179+J180+J181+J183+J184+J185+J186+J187+J188+J182</f>
        <v>#REF!</v>
      </c>
      <c r="K169" s="7">
        <f>K170+K171+K172+K173+K174+K175+K176+K177+K178+K179+K180+K181+K183+K184+K185+K186+K187+K188+K182</f>
        <v>0</v>
      </c>
      <c r="L169" s="7">
        <f>L170+L171+L172+L173+L174+L175+L176+L177+L178+L179+L180+L181+L183+L184+L185+L186+L187+L188+L182</f>
        <v>0</v>
      </c>
      <c r="M169" s="444"/>
      <c r="N169" s="446"/>
      <c r="O169" s="446">
        <f aca="true" t="shared" si="42" ref="O169:O174">O170+O192+O221</f>
        <v>0</v>
      </c>
      <c r="P169" s="440" t="e">
        <f t="shared" si="32"/>
        <v>#DIV/0!</v>
      </c>
      <c r="Q169" s="440">
        <f t="shared" si="38"/>
        <v>0</v>
      </c>
      <c r="R169" s="441">
        <f t="shared" si="39"/>
        <v>0</v>
      </c>
    </row>
    <row r="170" spans="1:18" ht="43.5" customHeight="1" hidden="1">
      <c r="A170" s="17"/>
      <c r="B170" s="31" t="s">
        <v>473</v>
      </c>
      <c r="C170" s="29" t="s">
        <v>474</v>
      </c>
      <c r="D170" s="20"/>
      <c r="E170" s="20">
        <v>35000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/>
      <c r="M170" s="444"/>
      <c r="N170" s="446"/>
      <c r="O170" s="446">
        <f t="shared" si="42"/>
        <v>0</v>
      </c>
      <c r="P170" s="440" t="e">
        <f t="shared" si="32"/>
        <v>#DIV/0!</v>
      </c>
      <c r="Q170" s="440">
        <f t="shared" si="38"/>
        <v>0</v>
      </c>
      <c r="R170" s="441">
        <f t="shared" si="39"/>
        <v>0</v>
      </c>
    </row>
    <row r="171" spans="1:18" ht="57" customHeight="1" hidden="1">
      <c r="A171" s="30"/>
      <c r="B171" s="31" t="s">
        <v>475</v>
      </c>
      <c r="C171" s="29" t="s">
        <v>476</v>
      </c>
      <c r="D171" s="8">
        <v>332400</v>
      </c>
      <c r="E171" s="20">
        <v>350100</v>
      </c>
      <c r="F171" s="20">
        <v>0</v>
      </c>
      <c r="G171" s="20">
        <v>174500</v>
      </c>
      <c r="H171" s="20">
        <v>0</v>
      </c>
      <c r="I171" s="20">
        <v>0</v>
      </c>
      <c r="J171" s="20">
        <v>0</v>
      </c>
      <c r="K171" s="20">
        <v>0</v>
      </c>
      <c r="L171" s="20"/>
      <c r="M171" s="444"/>
      <c r="N171" s="446"/>
      <c r="O171" s="446">
        <f t="shared" si="42"/>
        <v>0</v>
      </c>
      <c r="P171" s="440" t="e">
        <f t="shared" si="32"/>
        <v>#DIV/0!</v>
      </c>
      <c r="Q171" s="440">
        <f t="shared" si="38"/>
        <v>0</v>
      </c>
      <c r="R171" s="441">
        <f t="shared" si="39"/>
        <v>0</v>
      </c>
    </row>
    <row r="172" spans="1:18" ht="42.75" customHeight="1" hidden="1">
      <c r="A172" s="30"/>
      <c r="B172" s="31" t="s">
        <v>477</v>
      </c>
      <c r="C172" s="29" t="s">
        <v>571</v>
      </c>
      <c r="D172" s="8"/>
      <c r="E172" s="20">
        <v>0</v>
      </c>
      <c r="F172" s="20">
        <v>174500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/>
      <c r="M172" s="444"/>
      <c r="N172" s="446"/>
      <c r="O172" s="446">
        <f t="shared" si="42"/>
        <v>0</v>
      </c>
      <c r="P172" s="440" t="e">
        <f t="shared" si="32"/>
        <v>#DIV/0!</v>
      </c>
      <c r="Q172" s="440">
        <f t="shared" si="38"/>
        <v>0</v>
      </c>
      <c r="R172" s="441">
        <f t="shared" si="39"/>
        <v>0</v>
      </c>
    </row>
    <row r="173" spans="1:18" ht="45" customHeight="1" hidden="1">
      <c r="A173" s="30"/>
      <c r="B173" s="31" t="s">
        <v>479</v>
      </c>
      <c r="C173" s="29" t="s">
        <v>480</v>
      </c>
      <c r="D173" s="8">
        <v>19900</v>
      </c>
      <c r="E173" s="20">
        <v>22950</v>
      </c>
      <c r="F173" s="20">
        <v>700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/>
      <c r="M173" s="444"/>
      <c r="N173" s="446"/>
      <c r="O173" s="446">
        <f t="shared" si="42"/>
        <v>0</v>
      </c>
      <c r="P173" s="440" t="e">
        <f t="shared" si="32"/>
        <v>#DIV/0!</v>
      </c>
      <c r="Q173" s="440">
        <f t="shared" si="38"/>
        <v>0</v>
      </c>
      <c r="R173" s="441">
        <f t="shared" si="39"/>
        <v>0</v>
      </c>
    </row>
    <row r="174" spans="1:18" ht="44.25" customHeight="1" hidden="1">
      <c r="A174" s="30"/>
      <c r="B174" s="31" t="s">
        <v>572</v>
      </c>
      <c r="C174" s="29" t="s">
        <v>573</v>
      </c>
      <c r="D174" s="8">
        <v>2944100</v>
      </c>
      <c r="E174" s="20">
        <v>3354273</v>
      </c>
      <c r="F174" s="20">
        <v>0</v>
      </c>
      <c r="G174" s="20">
        <v>150000</v>
      </c>
      <c r="H174" s="20">
        <v>0</v>
      </c>
      <c r="I174" s="20">
        <v>0</v>
      </c>
      <c r="J174" s="20">
        <v>0</v>
      </c>
      <c r="K174" s="20">
        <v>0</v>
      </c>
      <c r="L174" s="20"/>
      <c r="M174" s="444"/>
      <c r="N174" s="446"/>
      <c r="O174" s="446">
        <f t="shared" si="42"/>
        <v>0</v>
      </c>
      <c r="P174" s="440" t="e">
        <f t="shared" si="32"/>
        <v>#DIV/0!</v>
      </c>
      <c r="Q174" s="440">
        <f t="shared" si="38"/>
        <v>0</v>
      </c>
      <c r="R174" s="441">
        <f t="shared" si="39"/>
        <v>0</v>
      </c>
    </row>
    <row r="175" spans="1:18" ht="46.5" customHeight="1" hidden="1">
      <c r="A175" s="30"/>
      <c r="B175" s="31" t="s">
        <v>574</v>
      </c>
      <c r="C175" s="29" t="s">
        <v>575</v>
      </c>
      <c r="D175" s="8">
        <v>66700</v>
      </c>
      <c r="E175" s="20">
        <v>85698</v>
      </c>
      <c r="F175" s="20">
        <v>48402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/>
      <c r="M175" s="444"/>
      <c r="N175" s="446"/>
      <c r="O175" s="446"/>
      <c r="P175" s="440" t="e">
        <f t="shared" si="32"/>
        <v>#DIV/0!</v>
      </c>
      <c r="Q175" s="440">
        <f t="shared" si="38"/>
        <v>0</v>
      </c>
      <c r="R175" s="441">
        <f t="shared" si="39"/>
        <v>0</v>
      </c>
    </row>
    <row r="176" spans="1:18" ht="32.25" customHeight="1" hidden="1">
      <c r="A176" s="30"/>
      <c r="B176" s="31" t="s">
        <v>576</v>
      </c>
      <c r="C176" s="29" t="s">
        <v>577</v>
      </c>
      <c r="D176" s="8">
        <v>202700</v>
      </c>
      <c r="E176" s="20">
        <v>233700</v>
      </c>
      <c r="F176" s="20">
        <v>2300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/>
      <c r="M176" s="444"/>
      <c r="N176" s="446"/>
      <c r="O176" s="446">
        <f>O177+O199+O228</f>
        <v>0</v>
      </c>
      <c r="P176" s="440" t="e">
        <f t="shared" si="32"/>
        <v>#DIV/0!</v>
      </c>
      <c r="Q176" s="440">
        <f t="shared" si="38"/>
        <v>0</v>
      </c>
      <c r="R176" s="441">
        <f t="shared" si="39"/>
        <v>0</v>
      </c>
    </row>
    <row r="177" spans="1:18" ht="30" customHeight="1" hidden="1">
      <c r="A177" s="30"/>
      <c r="B177" s="31" t="s">
        <v>578</v>
      </c>
      <c r="C177" s="29" t="s">
        <v>579</v>
      </c>
      <c r="D177" s="8">
        <v>18700</v>
      </c>
      <c r="E177" s="20">
        <v>16600</v>
      </c>
      <c r="F177" s="20">
        <v>21600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/>
      <c r="M177" s="444"/>
      <c r="N177" s="446"/>
      <c r="O177" s="446">
        <f>O178+O200+O230</f>
        <v>0</v>
      </c>
      <c r="P177" s="440" t="e">
        <f t="shared" si="32"/>
        <v>#DIV/0!</v>
      </c>
      <c r="Q177" s="440">
        <f t="shared" si="38"/>
        <v>0</v>
      </c>
      <c r="R177" s="441">
        <f t="shared" si="39"/>
        <v>0</v>
      </c>
    </row>
    <row r="178" spans="1:18" ht="27" customHeight="1" hidden="1">
      <c r="A178" s="30"/>
      <c r="B178" s="32" t="s">
        <v>532</v>
      </c>
      <c r="C178" s="29" t="s">
        <v>509</v>
      </c>
      <c r="D178" s="8">
        <v>69700</v>
      </c>
      <c r="E178" s="20">
        <v>65638</v>
      </c>
      <c r="F178" s="20">
        <v>19500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/>
      <c r="M178" s="444"/>
      <c r="N178" s="446"/>
      <c r="O178" s="446">
        <f>O179+O201+O231</f>
        <v>0</v>
      </c>
      <c r="P178" s="440" t="e">
        <f t="shared" si="32"/>
        <v>#DIV/0!</v>
      </c>
      <c r="Q178" s="440">
        <f t="shared" si="38"/>
        <v>0</v>
      </c>
      <c r="R178" s="441">
        <f t="shared" si="39"/>
        <v>0</v>
      </c>
    </row>
    <row r="179" spans="1:18" ht="29.25" customHeight="1" hidden="1">
      <c r="A179" s="30"/>
      <c r="B179" s="31" t="s">
        <v>483</v>
      </c>
      <c r="C179" s="29" t="s">
        <v>484</v>
      </c>
      <c r="D179" s="8">
        <v>1075978</v>
      </c>
      <c r="E179" s="20">
        <v>8871</v>
      </c>
      <c r="F179" s="20">
        <v>4600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/>
      <c r="M179" s="444"/>
      <c r="N179" s="446"/>
      <c r="O179" s="446"/>
      <c r="P179" s="440" t="e">
        <f t="shared" si="32"/>
        <v>#DIV/0!</v>
      </c>
      <c r="Q179" s="440">
        <f t="shared" si="38"/>
        <v>0</v>
      </c>
      <c r="R179" s="441">
        <f t="shared" si="39"/>
        <v>0</v>
      </c>
    </row>
    <row r="180" spans="1:18" ht="30" customHeight="1" hidden="1">
      <c r="A180" s="30"/>
      <c r="B180" s="31" t="s">
        <v>485</v>
      </c>
      <c r="C180" s="29" t="s">
        <v>486</v>
      </c>
      <c r="D180" s="8"/>
      <c r="E180" s="20">
        <v>267050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/>
      <c r="M180" s="444"/>
      <c r="N180" s="446"/>
      <c r="O180" s="446"/>
      <c r="P180" s="440" t="e">
        <f t="shared" si="32"/>
        <v>#DIV/0!</v>
      </c>
      <c r="Q180" s="440">
        <f t="shared" si="38"/>
        <v>0</v>
      </c>
      <c r="R180" s="441">
        <f t="shared" si="39"/>
        <v>0</v>
      </c>
    </row>
    <row r="181" spans="1:18" ht="35.25" customHeight="1" hidden="1">
      <c r="A181" s="30"/>
      <c r="B181" s="31" t="s">
        <v>580</v>
      </c>
      <c r="C181" s="29" t="s">
        <v>581</v>
      </c>
      <c r="D181" s="8"/>
      <c r="E181" s="20">
        <v>6000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/>
      <c r="M181" s="444"/>
      <c r="N181" s="446"/>
      <c r="O181" s="446"/>
      <c r="P181" s="440" t="e">
        <f t="shared" si="32"/>
        <v>#DIV/0!</v>
      </c>
      <c r="Q181" s="440">
        <f t="shared" si="38"/>
        <v>0</v>
      </c>
      <c r="R181" s="441">
        <f t="shared" si="39"/>
        <v>0</v>
      </c>
    </row>
    <row r="182" spans="1:18" ht="24.75" customHeight="1" hidden="1">
      <c r="A182" s="30"/>
      <c r="B182" s="31" t="s">
        <v>582</v>
      </c>
      <c r="C182" s="29" t="s">
        <v>583</v>
      </c>
      <c r="D182" s="8"/>
      <c r="E182" s="20"/>
      <c r="F182" s="20"/>
      <c r="G182" s="20"/>
      <c r="H182" s="20">
        <v>0</v>
      </c>
      <c r="I182" s="20">
        <v>0</v>
      </c>
      <c r="J182" s="20">
        <v>0</v>
      </c>
      <c r="K182" s="20">
        <v>0</v>
      </c>
      <c r="L182" s="20"/>
      <c r="M182" s="444"/>
      <c r="N182" s="446"/>
      <c r="O182" s="446"/>
      <c r="P182" s="440" t="e">
        <f t="shared" si="32"/>
        <v>#DIV/0!</v>
      </c>
      <c r="Q182" s="440">
        <f t="shared" si="38"/>
        <v>0</v>
      </c>
      <c r="R182" s="441">
        <f t="shared" si="39"/>
        <v>0</v>
      </c>
    </row>
    <row r="183" spans="1:18" ht="27.75" customHeight="1" hidden="1">
      <c r="A183" s="30"/>
      <c r="B183" s="31" t="s">
        <v>487</v>
      </c>
      <c r="C183" s="29" t="s">
        <v>584</v>
      </c>
      <c r="D183" s="8"/>
      <c r="E183" s="20">
        <v>68300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/>
      <c r="M183" s="444"/>
      <c r="N183" s="446"/>
      <c r="O183" s="446"/>
      <c r="P183" s="440" t="e">
        <f t="shared" si="32"/>
        <v>#DIV/0!</v>
      </c>
      <c r="Q183" s="440">
        <f t="shared" si="38"/>
        <v>0</v>
      </c>
      <c r="R183" s="441">
        <f t="shared" si="39"/>
        <v>0</v>
      </c>
    </row>
    <row r="184" spans="1:18" ht="23.25" customHeight="1" hidden="1">
      <c r="A184" s="30"/>
      <c r="B184" s="31" t="s">
        <v>489</v>
      </c>
      <c r="C184" s="29" t="s">
        <v>585</v>
      </c>
      <c r="D184" s="8"/>
      <c r="E184" s="20">
        <v>15000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/>
      <c r="M184" s="396"/>
      <c r="N184" s="411"/>
      <c r="O184" s="446">
        <f aca="true" t="shared" si="43" ref="O184:O190">O185+O207+O237</f>
        <v>0</v>
      </c>
      <c r="P184" s="440" t="e">
        <f t="shared" si="32"/>
        <v>#DIV/0!</v>
      </c>
      <c r="Q184" s="440">
        <f t="shared" si="38"/>
        <v>0</v>
      </c>
      <c r="R184" s="441">
        <f t="shared" si="39"/>
        <v>0</v>
      </c>
    </row>
    <row r="185" spans="1:18" ht="31.5" customHeight="1" hidden="1">
      <c r="A185" s="30"/>
      <c r="B185" s="31" t="s">
        <v>491</v>
      </c>
      <c r="C185" s="29" t="s">
        <v>586</v>
      </c>
      <c r="D185" s="8"/>
      <c r="E185" s="20">
        <v>62300</v>
      </c>
      <c r="F185" s="20">
        <v>5000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/>
      <c r="M185" s="396"/>
      <c r="N185" s="411"/>
      <c r="O185" s="446">
        <f t="shared" si="43"/>
        <v>0</v>
      </c>
      <c r="P185" s="440" t="e">
        <f t="shared" si="32"/>
        <v>#DIV/0!</v>
      </c>
      <c r="Q185" s="440">
        <f t="shared" si="38"/>
        <v>0</v>
      </c>
      <c r="R185" s="441">
        <f t="shared" si="39"/>
        <v>0</v>
      </c>
    </row>
    <row r="186" spans="1:18" ht="37.5" customHeight="1" hidden="1">
      <c r="A186" s="30"/>
      <c r="B186" s="31" t="s">
        <v>493</v>
      </c>
      <c r="C186" s="29" t="s">
        <v>494</v>
      </c>
      <c r="D186" s="8"/>
      <c r="E186" s="20">
        <v>38100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/>
      <c r="M186" s="396"/>
      <c r="N186" s="411"/>
      <c r="O186" s="446">
        <f t="shared" si="43"/>
        <v>0</v>
      </c>
      <c r="P186" s="440" t="e">
        <f t="shared" si="32"/>
        <v>#DIV/0!</v>
      </c>
      <c r="Q186" s="440">
        <f t="shared" si="38"/>
        <v>0</v>
      </c>
      <c r="R186" s="441">
        <f t="shared" si="39"/>
        <v>0</v>
      </c>
    </row>
    <row r="187" spans="1:18" ht="31.5" customHeight="1" hidden="1">
      <c r="A187" s="30"/>
      <c r="B187" s="31" t="s">
        <v>497</v>
      </c>
      <c r="C187" s="29" t="s">
        <v>498</v>
      </c>
      <c r="D187" s="8"/>
      <c r="E187" s="20">
        <v>13200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/>
      <c r="M187" s="396"/>
      <c r="N187" s="411"/>
      <c r="O187" s="446">
        <f t="shared" si="43"/>
        <v>0</v>
      </c>
      <c r="P187" s="440" t="e">
        <f t="shared" si="32"/>
        <v>#DIV/0!</v>
      </c>
      <c r="Q187" s="440">
        <f t="shared" si="38"/>
        <v>0</v>
      </c>
      <c r="R187" s="441">
        <f t="shared" si="39"/>
        <v>0</v>
      </c>
    </row>
    <row r="188" spans="1:18" ht="48" customHeight="1" hidden="1">
      <c r="A188" s="30"/>
      <c r="B188" s="31" t="s">
        <v>517</v>
      </c>
      <c r="C188" s="29" t="s">
        <v>374</v>
      </c>
      <c r="D188" s="8">
        <v>6030</v>
      </c>
      <c r="E188" s="20">
        <v>17500</v>
      </c>
      <c r="F188" s="20">
        <v>0</v>
      </c>
      <c r="G188" s="20">
        <v>5000</v>
      </c>
      <c r="H188" s="20">
        <v>3000</v>
      </c>
      <c r="I188" s="20">
        <v>0</v>
      </c>
      <c r="J188" s="20">
        <v>0</v>
      </c>
      <c r="K188" s="20">
        <v>0</v>
      </c>
      <c r="L188" s="20">
        <v>0</v>
      </c>
      <c r="M188" s="396"/>
      <c r="N188" s="411"/>
      <c r="O188" s="446">
        <f t="shared" si="43"/>
        <v>0</v>
      </c>
      <c r="P188" s="440" t="e">
        <f t="shared" si="32"/>
        <v>#DIV/0!</v>
      </c>
      <c r="Q188" s="440">
        <f t="shared" si="38"/>
        <v>0</v>
      </c>
      <c r="R188" s="441">
        <f t="shared" si="39"/>
        <v>0</v>
      </c>
    </row>
    <row r="189" spans="1:18" s="37" customFormat="1" ht="27" customHeight="1">
      <c r="A189" s="17" t="s">
        <v>559</v>
      </c>
      <c r="B189" s="27"/>
      <c r="C189" s="4" t="s">
        <v>770</v>
      </c>
      <c r="D189" s="7"/>
      <c r="E189" s="7"/>
      <c r="F189" s="7"/>
      <c r="G189" s="7"/>
      <c r="H189" s="7"/>
      <c r="I189" s="7"/>
      <c r="J189" s="7"/>
      <c r="K189" s="7">
        <f>K190</f>
        <v>5000</v>
      </c>
      <c r="L189" s="7">
        <v>0</v>
      </c>
      <c r="M189" s="396">
        <f>M190+M212+M242</f>
        <v>0</v>
      </c>
      <c r="N189" s="411">
        <v>0</v>
      </c>
      <c r="O189" s="411">
        <f t="shared" si="43"/>
        <v>0</v>
      </c>
      <c r="P189" s="454">
        <f t="shared" si="32"/>
        <v>0</v>
      </c>
      <c r="Q189" s="454">
        <f t="shared" si="38"/>
        <v>0.00014329737696444224</v>
      </c>
      <c r="R189" s="453">
        <f t="shared" si="39"/>
        <v>0</v>
      </c>
    </row>
    <row r="190" spans="1:18" ht="53.25" customHeight="1">
      <c r="A190" s="30"/>
      <c r="B190" s="31" t="s">
        <v>771</v>
      </c>
      <c r="C190" s="29" t="s">
        <v>772</v>
      </c>
      <c r="D190" s="8"/>
      <c r="E190" s="20"/>
      <c r="F190" s="20"/>
      <c r="G190" s="20"/>
      <c r="H190" s="20"/>
      <c r="I190" s="20"/>
      <c r="J190" s="20"/>
      <c r="K190" s="20">
        <v>5000</v>
      </c>
      <c r="L190" s="20">
        <v>0</v>
      </c>
      <c r="M190" s="396">
        <v>0</v>
      </c>
      <c r="N190" s="411">
        <v>0</v>
      </c>
      <c r="O190" s="411">
        <f t="shared" si="43"/>
        <v>0</v>
      </c>
      <c r="P190" s="454">
        <f t="shared" si="32"/>
        <v>0</v>
      </c>
      <c r="Q190" s="454">
        <f t="shared" si="38"/>
        <v>0.00014329737696444224</v>
      </c>
      <c r="R190" s="453">
        <f t="shared" si="39"/>
        <v>0</v>
      </c>
    </row>
    <row r="191" spans="1:18" ht="26.25" customHeight="1">
      <c r="A191" s="17" t="s">
        <v>587</v>
      </c>
      <c r="B191" s="27"/>
      <c r="C191" s="4" t="s">
        <v>588</v>
      </c>
      <c r="D191" s="7" t="e">
        <f>D193+D194+D195+D196+D197+#REF!+D199+D200</f>
        <v>#REF!</v>
      </c>
      <c r="E191" s="7" t="e">
        <f>E193+E194+E195+E196+E197+#REF!+E199+E200+E201+E203+E205+E206+E207+E209+E210+E211+E212+E213+E215+#REF!+E214</f>
        <v>#REF!</v>
      </c>
      <c r="F191" s="7" t="e">
        <f>F193+F194+F195+F196+F197+#REF!+F199+F200+F201+F203+F206+F207+F209+F210+F212+F213+F215+#REF!+F214</f>
        <v>#REF!</v>
      </c>
      <c r="G191" s="7" t="e">
        <f>G193+G194+G195+G196+G197+#REF!+G199+G200+G201+G203+G206+G207+G209+G210+G212+G213+G215+#REF!+G214</f>
        <v>#REF!</v>
      </c>
      <c r="H191" s="7" t="e">
        <f>H193+H194+H195+H196+H197+#REF!+H199+H200+H201+H203+H205+H206+H207+H209+H210+H211+H213+H214+H215+H204</f>
        <v>#REF!</v>
      </c>
      <c r="I191" s="7" t="e">
        <f>I193+I194+I195+I196+I197+#REF!+I199+I200+I201+I203+I205+I206+I207+I209+I210+I211+I213+I214+I215+I204</f>
        <v>#REF!</v>
      </c>
      <c r="J191" s="7" t="e">
        <f>J193+J194+J195+J196+J197+#REF!+J199+J200+J201+J203+J205+J206+J207+J209+J210+J211+J213+J214+J215+J204</f>
        <v>#REF!</v>
      </c>
      <c r="K191" s="7">
        <f>SUM(K192:K217)</f>
        <v>2096000</v>
      </c>
      <c r="L191" s="7">
        <f>L193+L194+L195+L196+L197+L199+L200+L201+L192+L202+L203+L205+L206+L207+L209+L210+L211+L213+L214+L215+L204+L216+L198+L208</f>
        <v>2307000</v>
      </c>
      <c r="M191" s="7">
        <f>M193+M194+M195+M196+M197+M199+M200+M201+M192+M202+M203+M205+M206+M207+M209+M210+M211+M213+M214+M215+M204+M216+M198+M208</f>
        <v>2306000</v>
      </c>
      <c r="N191" s="7">
        <f>L191-M191</f>
        <v>1000</v>
      </c>
      <c r="O191" s="7">
        <f>O193+O194+O195+O196+O197+O199+O200+O201+O192+O202+O203+O205+O206+O207+O209+O210+O211+O213+O214+O215+O204+O216+O198+O208</f>
        <v>0</v>
      </c>
      <c r="P191" s="454">
        <f t="shared" si="32"/>
        <v>1.1006679389312977</v>
      </c>
      <c r="Q191" s="292">
        <f t="shared" si="38"/>
        <v>0.06007026042349419</v>
      </c>
      <c r="R191" s="293">
        <f t="shared" si="39"/>
        <v>0.07035110047783857</v>
      </c>
    </row>
    <row r="192" spans="1:18" ht="15.75" customHeight="1">
      <c r="A192" s="30"/>
      <c r="B192" s="31" t="s">
        <v>975</v>
      </c>
      <c r="C192" s="29" t="s">
        <v>976</v>
      </c>
      <c r="D192" s="8"/>
      <c r="E192" s="20"/>
      <c r="F192" s="20"/>
      <c r="G192" s="20"/>
      <c r="H192" s="20"/>
      <c r="I192" s="20"/>
      <c r="J192" s="20"/>
      <c r="K192" s="8">
        <v>125416</v>
      </c>
      <c r="L192" s="8">
        <v>149000</v>
      </c>
      <c r="M192" s="20">
        <f>L192</f>
        <v>149000</v>
      </c>
      <c r="N192" s="24">
        <v>0</v>
      </c>
      <c r="O192" s="24">
        <v>0</v>
      </c>
      <c r="P192" s="454">
        <f t="shared" si="32"/>
        <v>1.188046182305288</v>
      </c>
      <c r="Q192" s="292">
        <f>K192/$K$662</f>
        <v>0.003594356765874498</v>
      </c>
      <c r="R192" s="293">
        <f>L192/$L$662</f>
        <v>0.0045436991639349585</v>
      </c>
    </row>
    <row r="193" spans="1:18" ht="15.75" customHeight="1">
      <c r="A193" s="30"/>
      <c r="B193" s="31" t="s">
        <v>477</v>
      </c>
      <c r="C193" s="29" t="s">
        <v>992</v>
      </c>
      <c r="D193" s="8">
        <v>15218</v>
      </c>
      <c r="E193" s="20">
        <v>14500</v>
      </c>
      <c r="F193" s="20">
        <v>1000</v>
      </c>
      <c r="G193" s="20">
        <v>0</v>
      </c>
      <c r="H193" s="20">
        <v>17000</v>
      </c>
      <c r="I193" s="20">
        <v>0</v>
      </c>
      <c r="J193" s="20">
        <v>0</v>
      </c>
      <c r="K193" s="8">
        <v>19470</v>
      </c>
      <c r="L193" s="8">
        <v>19000</v>
      </c>
      <c r="M193" s="20">
        <f>L193</f>
        <v>19000</v>
      </c>
      <c r="N193" s="24">
        <v>0</v>
      </c>
      <c r="O193" s="24">
        <v>0</v>
      </c>
      <c r="P193" s="454">
        <f t="shared" si="32"/>
        <v>0.9758602978941961</v>
      </c>
      <c r="Q193" s="292">
        <f t="shared" si="38"/>
        <v>0.0005579999858995381</v>
      </c>
      <c r="R193" s="293">
        <f t="shared" si="39"/>
        <v>0.0005793978799648605</v>
      </c>
    </row>
    <row r="194" spans="1:18" ht="15.75" customHeight="1">
      <c r="A194" s="30"/>
      <c r="B194" s="31" t="s">
        <v>479</v>
      </c>
      <c r="C194" s="29" t="s">
        <v>480</v>
      </c>
      <c r="D194" s="8">
        <v>782</v>
      </c>
      <c r="E194" s="20">
        <v>1200</v>
      </c>
      <c r="F194" s="20">
        <v>0</v>
      </c>
      <c r="G194" s="20">
        <v>14</v>
      </c>
      <c r="H194" s="20">
        <v>1415</v>
      </c>
      <c r="I194" s="20">
        <v>0</v>
      </c>
      <c r="J194" s="20">
        <v>0</v>
      </c>
      <c r="K194" s="8">
        <v>1530</v>
      </c>
      <c r="L194" s="8">
        <v>2000</v>
      </c>
      <c r="M194" s="20">
        <f aca="true" t="shared" si="44" ref="M194:M221">L194</f>
        <v>2000</v>
      </c>
      <c r="N194" s="24">
        <v>0</v>
      </c>
      <c r="O194" s="24">
        <v>0</v>
      </c>
      <c r="P194" s="454">
        <f t="shared" si="32"/>
        <v>1.3071895424836601</v>
      </c>
      <c r="Q194" s="292">
        <f t="shared" si="38"/>
        <v>4.3848997351119326E-05</v>
      </c>
      <c r="R194" s="293">
        <f t="shared" si="39"/>
        <v>6.098925052261689E-05</v>
      </c>
    </row>
    <row r="195" spans="1:18" ht="24" customHeight="1">
      <c r="A195" s="30"/>
      <c r="B195" s="31" t="s">
        <v>572</v>
      </c>
      <c r="C195" s="29" t="s">
        <v>573</v>
      </c>
      <c r="D195" s="8">
        <v>1635532</v>
      </c>
      <c r="E195" s="20">
        <v>1917450</v>
      </c>
      <c r="F195" s="20">
        <v>0</v>
      </c>
      <c r="G195" s="20">
        <v>0</v>
      </c>
      <c r="H195" s="20">
        <v>1149573</v>
      </c>
      <c r="I195" s="20">
        <v>0</v>
      </c>
      <c r="J195" s="20">
        <v>0</v>
      </c>
      <c r="K195" s="8">
        <v>1245000</v>
      </c>
      <c r="L195" s="8">
        <v>1438000</v>
      </c>
      <c r="M195" s="20">
        <f t="shared" si="44"/>
        <v>1438000</v>
      </c>
      <c r="N195" s="24">
        <v>0</v>
      </c>
      <c r="O195" s="24">
        <v>0</v>
      </c>
      <c r="P195" s="454">
        <f t="shared" si="32"/>
        <v>1.1550200803212851</v>
      </c>
      <c r="Q195" s="292">
        <f t="shared" si="38"/>
        <v>0.03568104686414612</v>
      </c>
      <c r="R195" s="293">
        <f t="shared" si="39"/>
        <v>0.043851271125761544</v>
      </c>
    </row>
    <row r="196" spans="1:18" ht="15" customHeight="1">
      <c r="A196" s="30"/>
      <c r="B196" s="31" t="s">
        <v>574</v>
      </c>
      <c r="C196" s="29" t="s">
        <v>575</v>
      </c>
      <c r="D196" s="8">
        <v>15859</v>
      </c>
      <c r="E196" s="20">
        <v>46700</v>
      </c>
      <c r="F196" s="20">
        <v>0</v>
      </c>
      <c r="G196" s="20">
        <v>0</v>
      </c>
      <c r="H196" s="20">
        <v>5200</v>
      </c>
      <c r="I196" s="20">
        <v>0</v>
      </c>
      <c r="J196" s="20">
        <v>0</v>
      </c>
      <c r="K196" s="8">
        <v>56668</v>
      </c>
      <c r="L196" s="8">
        <v>148000</v>
      </c>
      <c r="M196" s="20">
        <f t="shared" si="44"/>
        <v>148000</v>
      </c>
      <c r="N196" s="24">
        <v>0</v>
      </c>
      <c r="O196" s="24">
        <v>0</v>
      </c>
      <c r="P196" s="454">
        <f t="shared" si="32"/>
        <v>2.6117032540410814</v>
      </c>
      <c r="Q196" s="292">
        <f t="shared" si="38"/>
        <v>0.0016240751515642026</v>
      </c>
      <c r="R196" s="293">
        <f t="shared" si="39"/>
        <v>0.00451320453867365</v>
      </c>
    </row>
    <row r="197" spans="1:18" ht="15.75" customHeight="1">
      <c r="A197" s="30"/>
      <c r="B197" s="31" t="s">
        <v>576</v>
      </c>
      <c r="C197" s="29" t="s">
        <v>577</v>
      </c>
      <c r="D197" s="8">
        <v>96233</v>
      </c>
      <c r="E197" s="20">
        <v>146640</v>
      </c>
      <c r="F197" s="20">
        <v>0</v>
      </c>
      <c r="G197" s="20">
        <v>15640</v>
      </c>
      <c r="H197" s="20">
        <v>86500</v>
      </c>
      <c r="I197" s="20">
        <v>0</v>
      </c>
      <c r="J197" s="20">
        <v>0</v>
      </c>
      <c r="K197" s="8">
        <v>96001</v>
      </c>
      <c r="L197" s="8">
        <v>121000</v>
      </c>
      <c r="M197" s="20">
        <f t="shared" si="44"/>
        <v>121000</v>
      </c>
      <c r="N197" s="24">
        <v>0</v>
      </c>
      <c r="O197" s="24">
        <v>0</v>
      </c>
      <c r="P197" s="454">
        <f t="shared" si="32"/>
        <v>1.2604035374631515</v>
      </c>
      <c r="Q197" s="292">
        <f aca="true" t="shared" si="45" ref="Q197:Q245">K197/$K$662</f>
        <v>0.002751338297192684</v>
      </c>
      <c r="R197" s="293">
        <f aca="true" t="shared" si="46" ref="R197:R220">L197/$L$662</f>
        <v>0.0036898496566183216</v>
      </c>
    </row>
    <row r="198" spans="1:18" ht="18" customHeight="1">
      <c r="A198" s="30"/>
      <c r="B198" s="31" t="s">
        <v>578</v>
      </c>
      <c r="C198" s="29" t="s">
        <v>991</v>
      </c>
      <c r="D198" s="8"/>
      <c r="E198" s="20"/>
      <c r="F198" s="20"/>
      <c r="G198" s="20"/>
      <c r="H198" s="20"/>
      <c r="I198" s="20"/>
      <c r="J198" s="20"/>
      <c r="K198" s="8">
        <v>0</v>
      </c>
      <c r="L198" s="8">
        <v>0</v>
      </c>
      <c r="M198" s="20">
        <f t="shared" si="44"/>
        <v>0</v>
      </c>
      <c r="N198" s="24">
        <v>0</v>
      </c>
      <c r="O198" s="24">
        <v>0</v>
      </c>
      <c r="P198" s="454">
        <v>0</v>
      </c>
      <c r="Q198" s="292">
        <f t="shared" si="45"/>
        <v>0</v>
      </c>
      <c r="R198" s="293">
        <f t="shared" si="46"/>
        <v>0</v>
      </c>
    </row>
    <row r="199" spans="1:18" ht="18" customHeight="1">
      <c r="A199" s="30"/>
      <c r="B199" s="32" t="s">
        <v>532</v>
      </c>
      <c r="C199" s="29" t="s">
        <v>554</v>
      </c>
      <c r="D199" s="8">
        <v>39438</v>
      </c>
      <c r="E199" s="20">
        <v>71560</v>
      </c>
      <c r="F199" s="20">
        <v>0</v>
      </c>
      <c r="G199" s="20">
        <v>26000</v>
      </c>
      <c r="H199" s="20">
        <v>38000</v>
      </c>
      <c r="I199" s="20">
        <v>0</v>
      </c>
      <c r="J199" s="20">
        <v>0</v>
      </c>
      <c r="K199" s="8">
        <v>3788</v>
      </c>
      <c r="L199" s="8">
        <v>3500</v>
      </c>
      <c r="M199" s="20">
        <f t="shared" si="44"/>
        <v>3500</v>
      </c>
      <c r="N199" s="24">
        <v>0</v>
      </c>
      <c r="O199" s="24">
        <v>0</v>
      </c>
      <c r="P199" s="454">
        <f aca="true" t="shared" si="47" ref="P199:P266">L199/K199</f>
        <v>0.9239704329461457</v>
      </c>
      <c r="Q199" s="292">
        <f t="shared" si="45"/>
        <v>0.00010856209278826144</v>
      </c>
      <c r="R199" s="293">
        <f t="shared" si="46"/>
        <v>0.00010673118841457956</v>
      </c>
    </row>
    <row r="200" spans="1:18" ht="15.75" customHeight="1">
      <c r="A200" s="30"/>
      <c r="B200" s="31" t="s">
        <v>483</v>
      </c>
      <c r="C200" s="29" t="s">
        <v>484</v>
      </c>
      <c r="D200" s="8">
        <v>843962</v>
      </c>
      <c r="E200" s="20">
        <v>12030</v>
      </c>
      <c r="F200" s="20">
        <v>0</v>
      </c>
      <c r="G200" s="20">
        <v>5000</v>
      </c>
      <c r="H200" s="20">
        <v>5410</v>
      </c>
      <c r="I200" s="20">
        <v>0</v>
      </c>
      <c r="J200" s="20">
        <v>0</v>
      </c>
      <c r="K200" s="8">
        <v>510</v>
      </c>
      <c r="L200" s="8">
        <v>500</v>
      </c>
      <c r="M200" s="20">
        <f t="shared" si="44"/>
        <v>500</v>
      </c>
      <c r="N200" s="24">
        <v>0</v>
      </c>
      <c r="O200" s="24">
        <v>0</v>
      </c>
      <c r="P200" s="454">
        <f t="shared" si="47"/>
        <v>0.9803921568627451</v>
      </c>
      <c r="Q200" s="292">
        <f t="shared" si="45"/>
        <v>1.4616332450373109E-05</v>
      </c>
      <c r="R200" s="293">
        <f t="shared" si="46"/>
        <v>1.5247312630654222E-05</v>
      </c>
    </row>
    <row r="201" spans="1:18" ht="15.75" customHeight="1">
      <c r="A201" s="30"/>
      <c r="B201" s="31" t="s">
        <v>256</v>
      </c>
      <c r="C201" s="29" t="s">
        <v>257</v>
      </c>
      <c r="D201" s="8"/>
      <c r="E201" s="20">
        <v>265000</v>
      </c>
      <c r="F201" s="20">
        <v>25000</v>
      </c>
      <c r="G201" s="20">
        <v>0</v>
      </c>
      <c r="H201" s="20">
        <v>219000</v>
      </c>
      <c r="I201" s="20">
        <v>0</v>
      </c>
      <c r="J201" s="20">
        <v>0</v>
      </c>
      <c r="K201" s="8">
        <v>1950</v>
      </c>
      <c r="L201" s="8">
        <v>0</v>
      </c>
      <c r="M201" s="20">
        <f t="shared" si="44"/>
        <v>0</v>
      </c>
      <c r="N201" s="24">
        <v>0</v>
      </c>
      <c r="O201" s="24">
        <v>0</v>
      </c>
      <c r="P201" s="454">
        <f t="shared" si="47"/>
        <v>0</v>
      </c>
      <c r="Q201" s="292">
        <f t="shared" si="45"/>
        <v>5.588597701613248E-05</v>
      </c>
      <c r="R201" s="293">
        <f t="shared" si="46"/>
        <v>0</v>
      </c>
    </row>
    <row r="202" spans="1:18" ht="15.75" customHeight="1">
      <c r="A202" s="30"/>
      <c r="B202" s="31" t="s">
        <v>977</v>
      </c>
      <c r="C202" s="29" t="s">
        <v>978</v>
      </c>
      <c r="D202" s="8"/>
      <c r="E202" s="20"/>
      <c r="F202" s="20"/>
      <c r="G202" s="20"/>
      <c r="H202" s="20"/>
      <c r="I202" s="20"/>
      <c r="J202" s="20"/>
      <c r="K202" s="8">
        <v>74738</v>
      </c>
      <c r="L202" s="8">
        <v>93000</v>
      </c>
      <c r="M202" s="20">
        <f>L202</f>
        <v>93000</v>
      </c>
      <c r="N202" s="24">
        <v>0</v>
      </c>
      <c r="O202" s="24">
        <v>0</v>
      </c>
      <c r="P202" s="454">
        <f t="shared" si="47"/>
        <v>1.2443469185688671</v>
      </c>
      <c r="Q202" s="292">
        <f t="shared" si="45"/>
        <v>0.002141951871913697</v>
      </c>
      <c r="R202" s="293">
        <f t="shared" si="46"/>
        <v>0.002836000149301685</v>
      </c>
    </row>
    <row r="203" spans="1:18" ht="15.75" customHeight="1">
      <c r="A203" s="30"/>
      <c r="B203" s="31" t="s">
        <v>485</v>
      </c>
      <c r="C203" s="29" t="s">
        <v>486</v>
      </c>
      <c r="D203" s="8"/>
      <c r="E203" s="20">
        <v>296300</v>
      </c>
      <c r="F203" s="20">
        <v>62410</v>
      </c>
      <c r="G203" s="20">
        <v>0</v>
      </c>
      <c r="H203" s="20">
        <v>173952</v>
      </c>
      <c r="I203" s="20">
        <v>0</v>
      </c>
      <c r="J203" s="20">
        <v>0</v>
      </c>
      <c r="K203" s="8">
        <v>274045</v>
      </c>
      <c r="L203" s="8">
        <v>196820</v>
      </c>
      <c r="M203" s="20">
        <v>195820</v>
      </c>
      <c r="N203" s="24">
        <v>1000</v>
      </c>
      <c r="O203" s="24">
        <v>0</v>
      </c>
      <c r="P203" s="454">
        <f t="shared" si="47"/>
        <v>0.718203214800489</v>
      </c>
      <c r="Q203" s="292">
        <f t="shared" si="45"/>
        <v>0.007853985934044115</v>
      </c>
      <c r="R203" s="293">
        <f t="shared" si="46"/>
        <v>0.006001952143930728</v>
      </c>
    </row>
    <row r="204" spans="1:18" ht="15.75" customHeight="1">
      <c r="A204" s="30"/>
      <c r="B204" s="31" t="s">
        <v>580</v>
      </c>
      <c r="C204" s="29" t="s">
        <v>581</v>
      </c>
      <c r="D204" s="8"/>
      <c r="E204" s="20"/>
      <c r="F204" s="20"/>
      <c r="G204" s="20"/>
      <c r="H204" s="20">
        <v>2000</v>
      </c>
      <c r="I204" s="20">
        <v>0</v>
      </c>
      <c r="J204" s="20">
        <v>0</v>
      </c>
      <c r="K204" s="8">
        <v>0</v>
      </c>
      <c r="L204" s="8">
        <v>0</v>
      </c>
      <c r="M204" s="20">
        <f t="shared" si="44"/>
        <v>0</v>
      </c>
      <c r="N204" s="24">
        <v>0</v>
      </c>
      <c r="O204" s="24">
        <v>0</v>
      </c>
      <c r="P204" s="454">
        <v>0</v>
      </c>
      <c r="Q204" s="292">
        <f t="shared" si="45"/>
        <v>0</v>
      </c>
      <c r="R204" s="293">
        <f t="shared" si="46"/>
        <v>0</v>
      </c>
    </row>
    <row r="205" spans="1:18" ht="16.5" customHeight="1">
      <c r="A205" s="30"/>
      <c r="B205" s="31" t="s">
        <v>582</v>
      </c>
      <c r="C205" s="29" t="s">
        <v>583</v>
      </c>
      <c r="D205" s="8"/>
      <c r="E205" s="20">
        <v>0</v>
      </c>
      <c r="F205" s="20"/>
      <c r="G205" s="20"/>
      <c r="H205" s="20">
        <v>88000</v>
      </c>
      <c r="I205" s="20">
        <v>0</v>
      </c>
      <c r="J205" s="20">
        <v>0</v>
      </c>
      <c r="K205" s="8">
        <v>32890</v>
      </c>
      <c r="L205" s="8">
        <v>20000</v>
      </c>
      <c r="M205" s="20">
        <f t="shared" si="44"/>
        <v>20000</v>
      </c>
      <c r="N205" s="24">
        <v>0</v>
      </c>
      <c r="O205" s="24">
        <v>0</v>
      </c>
      <c r="P205" s="454">
        <f t="shared" si="47"/>
        <v>0.6080875646093037</v>
      </c>
      <c r="Q205" s="292">
        <f t="shared" si="45"/>
        <v>0.0009426101456721011</v>
      </c>
      <c r="R205" s="293">
        <f t="shared" si="46"/>
        <v>0.0006098925052261689</v>
      </c>
    </row>
    <row r="206" spans="1:18" ht="15.75" customHeight="1">
      <c r="A206" s="30"/>
      <c r="B206" s="31" t="s">
        <v>487</v>
      </c>
      <c r="C206" s="29" t="s">
        <v>584</v>
      </c>
      <c r="D206" s="8"/>
      <c r="E206" s="20">
        <v>25000</v>
      </c>
      <c r="F206" s="20">
        <v>0</v>
      </c>
      <c r="G206" s="20">
        <v>5100</v>
      </c>
      <c r="H206" s="20">
        <v>17000</v>
      </c>
      <c r="I206" s="20">
        <v>0</v>
      </c>
      <c r="J206" s="20">
        <v>0</v>
      </c>
      <c r="K206" s="8">
        <v>17000</v>
      </c>
      <c r="L206" s="8">
        <v>18000</v>
      </c>
      <c r="M206" s="20">
        <f t="shared" si="44"/>
        <v>18000</v>
      </c>
      <c r="N206" s="24">
        <v>0</v>
      </c>
      <c r="O206" s="24">
        <v>0</v>
      </c>
      <c r="P206" s="454">
        <f t="shared" si="47"/>
        <v>1.0588235294117647</v>
      </c>
      <c r="Q206" s="292">
        <f t="shared" si="45"/>
        <v>0.0004872110816791036</v>
      </c>
      <c r="R206" s="293">
        <f t="shared" si="46"/>
        <v>0.000548903254703552</v>
      </c>
    </row>
    <row r="207" spans="1:18" ht="17.25" customHeight="1">
      <c r="A207" s="30"/>
      <c r="B207" s="31" t="s">
        <v>489</v>
      </c>
      <c r="C207" s="29" t="s">
        <v>585</v>
      </c>
      <c r="D207" s="8"/>
      <c r="E207" s="20">
        <v>10000</v>
      </c>
      <c r="F207" s="20">
        <v>5000</v>
      </c>
      <c r="G207" s="20">
        <v>0</v>
      </c>
      <c r="H207" s="20">
        <v>43545</v>
      </c>
      <c r="I207" s="20">
        <v>0</v>
      </c>
      <c r="J207" s="20">
        <v>0</v>
      </c>
      <c r="K207" s="8">
        <v>13830</v>
      </c>
      <c r="L207" s="8">
        <v>12000</v>
      </c>
      <c r="M207" s="20">
        <f t="shared" si="44"/>
        <v>12000</v>
      </c>
      <c r="N207" s="24">
        <v>0</v>
      </c>
      <c r="O207" s="24">
        <v>0</v>
      </c>
      <c r="P207" s="454">
        <f t="shared" si="47"/>
        <v>0.8676789587852495</v>
      </c>
      <c r="Q207" s="292">
        <f t="shared" si="45"/>
        <v>0.00039636054468364726</v>
      </c>
      <c r="R207" s="293">
        <f t="shared" si="46"/>
        <v>0.0003659355031357013</v>
      </c>
    </row>
    <row r="208" spans="1:18" ht="17.25" customHeight="1">
      <c r="A208" s="30"/>
      <c r="B208" s="31" t="s">
        <v>561</v>
      </c>
      <c r="C208" s="29" t="s">
        <v>562</v>
      </c>
      <c r="D208" s="8"/>
      <c r="E208" s="20"/>
      <c r="F208" s="20"/>
      <c r="G208" s="20"/>
      <c r="H208" s="20"/>
      <c r="I208" s="20"/>
      <c r="J208" s="20"/>
      <c r="K208" s="8">
        <v>4718</v>
      </c>
      <c r="L208" s="8">
        <v>14520</v>
      </c>
      <c r="M208" s="20">
        <f t="shared" si="44"/>
        <v>14520</v>
      </c>
      <c r="N208" s="24">
        <v>0</v>
      </c>
      <c r="O208" s="24">
        <v>0</v>
      </c>
      <c r="P208" s="454">
        <f t="shared" si="47"/>
        <v>3.0775752437473507</v>
      </c>
      <c r="Q208" s="292">
        <f t="shared" si="45"/>
        <v>0.0001352154049036477</v>
      </c>
      <c r="R208" s="293">
        <f t="shared" si="46"/>
        <v>0.0004427819587941986</v>
      </c>
    </row>
    <row r="209" spans="1:18" ht="17.25" customHeight="1">
      <c r="A209" s="30"/>
      <c r="B209" s="31" t="s">
        <v>491</v>
      </c>
      <c r="C209" s="29" t="s">
        <v>586</v>
      </c>
      <c r="D209" s="8"/>
      <c r="E209" s="20">
        <v>58800</v>
      </c>
      <c r="F209" s="20">
        <v>10000</v>
      </c>
      <c r="G209" s="20">
        <v>0</v>
      </c>
      <c r="H209" s="20">
        <v>56000</v>
      </c>
      <c r="I209" s="20">
        <v>0</v>
      </c>
      <c r="J209" s="20">
        <v>0</v>
      </c>
      <c r="K209" s="8">
        <v>45000</v>
      </c>
      <c r="L209" s="8">
        <v>45000</v>
      </c>
      <c r="M209" s="20">
        <f t="shared" si="44"/>
        <v>45000</v>
      </c>
      <c r="N209" s="24">
        <v>0</v>
      </c>
      <c r="O209" s="24">
        <v>0</v>
      </c>
      <c r="P209" s="454">
        <f t="shared" si="47"/>
        <v>1</v>
      </c>
      <c r="Q209" s="292">
        <f t="shared" si="45"/>
        <v>0.0012896763926799801</v>
      </c>
      <c r="R209" s="293">
        <f t="shared" si="46"/>
        <v>0.00137225813675888</v>
      </c>
    </row>
    <row r="210" spans="1:18" ht="14.25" customHeight="1">
      <c r="A210" s="30"/>
      <c r="B210" s="31" t="s">
        <v>493</v>
      </c>
      <c r="C210" s="29" t="s">
        <v>494</v>
      </c>
      <c r="D210" s="8"/>
      <c r="E210" s="20">
        <v>25000</v>
      </c>
      <c r="F210" s="20">
        <v>0</v>
      </c>
      <c r="G210" s="20">
        <v>17000</v>
      </c>
      <c r="H210" s="20">
        <v>8000</v>
      </c>
      <c r="I210" s="20">
        <v>0</v>
      </c>
      <c r="J210" s="20">
        <v>0</v>
      </c>
      <c r="K210" s="8">
        <v>5800</v>
      </c>
      <c r="L210" s="8">
        <v>7000</v>
      </c>
      <c r="M210" s="20">
        <f t="shared" si="44"/>
        <v>7000</v>
      </c>
      <c r="N210" s="24">
        <v>0</v>
      </c>
      <c r="O210" s="24">
        <v>0</v>
      </c>
      <c r="P210" s="454">
        <f t="shared" si="47"/>
        <v>1.206896551724138</v>
      </c>
      <c r="Q210" s="292">
        <f t="shared" si="45"/>
        <v>0.000166224957278753</v>
      </c>
      <c r="R210" s="293">
        <f t="shared" si="46"/>
        <v>0.00021346237682915911</v>
      </c>
    </row>
    <row r="211" spans="1:18" ht="15.75" customHeight="1">
      <c r="A211" s="30"/>
      <c r="B211" s="31" t="s">
        <v>495</v>
      </c>
      <c r="C211" s="29" t="s">
        <v>496</v>
      </c>
      <c r="D211" s="8"/>
      <c r="E211" s="20">
        <v>0</v>
      </c>
      <c r="F211" s="20"/>
      <c r="G211" s="20"/>
      <c r="H211" s="20">
        <v>7000</v>
      </c>
      <c r="I211" s="20">
        <v>0</v>
      </c>
      <c r="J211" s="20">
        <v>0</v>
      </c>
      <c r="K211" s="8">
        <v>6500</v>
      </c>
      <c r="L211" s="8">
        <v>8000</v>
      </c>
      <c r="M211" s="20">
        <f t="shared" si="44"/>
        <v>8000</v>
      </c>
      <c r="N211" s="24">
        <v>0</v>
      </c>
      <c r="O211" s="24">
        <v>0</v>
      </c>
      <c r="P211" s="454">
        <f t="shared" si="47"/>
        <v>1.2307692307692308</v>
      </c>
      <c r="Q211" s="292">
        <f t="shared" si="45"/>
        <v>0.0001862865900537749</v>
      </c>
      <c r="R211" s="293">
        <f t="shared" si="46"/>
        <v>0.00024395700209046755</v>
      </c>
    </row>
    <row r="212" spans="1:18" ht="19.5" customHeight="1" hidden="1">
      <c r="A212" s="30"/>
      <c r="B212" s="31" t="s">
        <v>495</v>
      </c>
      <c r="C212" s="29" t="s">
        <v>589</v>
      </c>
      <c r="D212" s="8"/>
      <c r="E212" s="20">
        <v>12500</v>
      </c>
      <c r="F212" s="20">
        <v>0</v>
      </c>
      <c r="G212" s="20">
        <v>2500</v>
      </c>
      <c r="H212" s="7"/>
      <c r="I212" s="20">
        <v>0</v>
      </c>
      <c r="J212" s="20">
        <v>0</v>
      </c>
      <c r="K212" s="8">
        <v>0</v>
      </c>
      <c r="L212" s="8"/>
      <c r="M212" s="20">
        <f t="shared" si="44"/>
        <v>0</v>
      </c>
      <c r="N212" s="24">
        <v>0</v>
      </c>
      <c r="O212" s="24">
        <v>0</v>
      </c>
      <c r="P212" s="454" t="e">
        <f t="shared" si="47"/>
        <v>#DIV/0!</v>
      </c>
      <c r="Q212" s="292">
        <f t="shared" si="45"/>
        <v>0</v>
      </c>
      <c r="R212" s="293">
        <f t="shared" si="46"/>
        <v>0</v>
      </c>
    </row>
    <row r="213" spans="1:18" ht="18" customHeight="1">
      <c r="A213" s="30"/>
      <c r="B213" s="31" t="s">
        <v>497</v>
      </c>
      <c r="C213" s="29" t="s">
        <v>498</v>
      </c>
      <c r="D213" s="8"/>
      <c r="E213" s="20">
        <v>2000</v>
      </c>
      <c r="F213" s="20">
        <v>0</v>
      </c>
      <c r="G213" s="20">
        <v>1173</v>
      </c>
      <c r="H213" s="20">
        <v>676</v>
      </c>
      <c r="I213" s="20">
        <v>0</v>
      </c>
      <c r="J213" s="20">
        <v>0</v>
      </c>
      <c r="K213" s="8">
        <v>733</v>
      </c>
      <c r="L213" s="8">
        <v>1000</v>
      </c>
      <c r="M213" s="20">
        <f t="shared" si="44"/>
        <v>1000</v>
      </c>
      <c r="N213" s="24">
        <v>0</v>
      </c>
      <c r="O213" s="24">
        <v>0</v>
      </c>
      <c r="P213" s="454">
        <f t="shared" si="47"/>
        <v>1.364256480218281</v>
      </c>
      <c r="Q213" s="292">
        <f t="shared" si="45"/>
        <v>2.1007395462987234E-05</v>
      </c>
      <c r="R213" s="293">
        <f t="shared" si="46"/>
        <v>3.0494625261308444E-05</v>
      </c>
    </row>
    <row r="214" spans="1:18" ht="16.5" customHeight="1">
      <c r="A214" s="30"/>
      <c r="B214" s="31" t="s">
        <v>513</v>
      </c>
      <c r="C214" s="29" t="s">
        <v>514</v>
      </c>
      <c r="D214" s="8"/>
      <c r="E214" s="20">
        <v>13840</v>
      </c>
      <c r="F214" s="20">
        <v>0</v>
      </c>
      <c r="G214" s="20">
        <v>9183</v>
      </c>
      <c r="H214" s="20">
        <v>8569</v>
      </c>
      <c r="I214" s="20">
        <v>0</v>
      </c>
      <c r="J214" s="20">
        <v>0</v>
      </c>
      <c r="K214" s="8">
        <v>0</v>
      </c>
      <c r="L214" s="8">
        <v>0</v>
      </c>
      <c r="M214" s="20">
        <f t="shared" si="44"/>
        <v>0</v>
      </c>
      <c r="N214" s="24">
        <v>0</v>
      </c>
      <c r="O214" s="24">
        <v>0</v>
      </c>
      <c r="P214" s="454">
        <v>0</v>
      </c>
      <c r="Q214" s="292">
        <f t="shared" si="45"/>
        <v>0</v>
      </c>
      <c r="R214" s="293">
        <f t="shared" si="46"/>
        <v>0</v>
      </c>
    </row>
    <row r="215" spans="1:18" ht="16.5" customHeight="1">
      <c r="A215" s="30"/>
      <c r="B215" s="31" t="s">
        <v>590</v>
      </c>
      <c r="C215" s="29" t="s">
        <v>591</v>
      </c>
      <c r="D215" s="8">
        <v>62500</v>
      </c>
      <c r="E215" s="20">
        <v>160</v>
      </c>
      <c r="F215" s="20">
        <v>0</v>
      </c>
      <c r="G215" s="20">
        <v>0</v>
      </c>
      <c r="H215" s="20">
        <v>160</v>
      </c>
      <c r="I215" s="20">
        <v>0</v>
      </c>
      <c r="J215" s="20">
        <v>0</v>
      </c>
      <c r="K215" s="8">
        <v>160</v>
      </c>
      <c r="L215" s="8">
        <v>160</v>
      </c>
      <c r="M215" s="20">
        <f t="shared" si="44"/>
        <v>160</v>
      </c>
      <c r="N215" s="24">
        <v>0</v>
      </c>
      <c r="O215" s="24">
        <v>0</v>
      </c>
      <c r="P215" s="454">
        <f t="shared" si="47"/>
        <v>1</v>
      </c>
      <c r="Q215" s="292">
        <f t="shared" si="45"/>
        <v>4.585516062862152E-06</v>
      </c>
      <c r="R215" s="293">
        <f t="shared" si="46"/>
        <v>4.879140041809351E-06</v>
      </c>
    </row>
    <row r="216" spans="1:18" ht="16.5" customHeight="1">
      <c r="A216" s="30"/>
      <c r="B216" s="31" t="s">
        <v>560</v>
      </c>
      <c r="C216" s="29" t="s">
        <v>566</v>
      </c>
      <c r="D216" s="8"/>
      <c r="E216" s="20"/>
      <c r="F216" s="20"/>
      <c r="G216" s="20"/>
      <c r="H216" s="20"/>
      <c r="I216" s="20"/>
      <c r="J216" s="20"/>
      <c r="K216" s="8">
        <v>10253</v>
      </c>
      <c r="L216" s="8">
        <v>10500</v>
      </c>
      <c r="M216" s="20">
        <f t="shared" si="44"/>
        <v>10500</v>
      </c>
      <c r="N216" s="24">
        <v>0</v>
      </c>
      <c r="O216" s="24">
        <v>0</v>
      </c>
      <c r="P216" s="454">
        <f t="shared" si="47"/>
        <v>1.0240905100946065</v>
      </c>
      <c r="Q216" s="292">
        <f t="shared" si="45"/>
        <v>0.0002938456012032853</v>
      </c>
      <c r="R216" s="293">
        <f t="shared" si="46"/>
        <v>0.00032019356524373867</v>
      </c>
    </row>
    <row r="217" spans="1:18" ht="16.5" customHeight="1">
      <c r="A217" s="30"/>
      <c r="B217" s="31" t="s">
        <v>517</v>
      </c>
      <c r="C217" s="29" t="s">
        <v>376</v>
      </c>
      <c r="D217" s="8"/>
      <c r="E217" s="20"/>
      <c r="F217" s="20"/>
      <c r="G217" s="20"/>
      <c r="H217" s="20"/>
      <c r="I217" s="20"/>
      <c r="J217" s="20"/>
      <c r="K217" s="8">
        <v>60000</v>
      </c>
      <c r="L217" s="8">
        <v>0</v>
      </c>
      <c r="M217" s="20">
        <f t="shared" si="44"/>
        <v>0</v>
      </c>
      <c r="N217" s="24">
        <v>0</v>
      </c>
      <c r="O217" s="24">
        <v>0</v>
      </c>
      <c r="P217" s="454">
        <f t="shared" si="47"/>
        <v>0</v>
      </c>
      <c r="Q217" s="292">
        <f t="shared" si="45"/>
        <v>0.001719568523573307</v>
      </c>
      <c r="R217" s="293">
        <f t="shared" si="46"/>
        <v>0</v>
      </c>
    </row>
    <row r="218" spans="1:18" ht="16.5" customHeight="1">
      <c r="A218" s="17" t="s">
        <v>979</v>
      </c>
      <c r="B218" s="27"/>
      <c r="C218" s="4" t="s">
        <v>668</v>
      </c>
      <c r="D218" s="7"/>
      <c r="E218" s="7"/>
      <c r="F218" s="7"/>
      <c r="G218" s="7"/>
      <c r="H218" s="7"/>
      <c r="I218" s="7"/>
      <c r="J218" s="7"/>
      <c r="K218" s="7">
        <f>SUM(K219:K221)</f>
        <v>19000</v>
      </c>
      <c r="L218" s="7">
        <f>SUM(L219:L221)</f>
        <v>3000</v>
      </c>
      <c r="M218" s="7">
        <f t="shared" si="44"/>
        <v>3000</v>
      </c>
      <c r="N218" s="20">
        <f>SUM(N219:N221)</f>
        <v>0</v>
      </c>
      <c r="O218" s="20">
        <f>SUM(O219:O221)</f>
        <v>0</v>
      </c>
      <c r="P218" s="10">
        <f>L218/K218</f>
        <v>0.15789473684210525</v>
      </c>
      <c r="Q218" s="292">
        <f t="shared" si="45"/>
        <v>0.0005445300324648805</v>
      </c>
      <c r="R218" s="293">
        <f t="shared" si="46"/>
        <v>9.148387578392533E-05</v>
      </c>
    </row>
    <row r="219" spans="1:18" ht="16.5" customHeight="1">
      <c r="A219" s="17"/>
      <c r="B219" s="31" t="s">
        <v>485</v>
      </c>
      <c r="C219" s="29" t="s">
        <v>486</v>
      </c>
      <c r="D219" s="7"/>
      <c r="E219" s="7"/>
      <c r="F219" s="7"/>
      <c r="G219" s="7"/>
      <c r="H219" s="7"/>
      <c r="I219" s="7"/>
      <c r="J219" s="7"/>
      <c r="K219" s="20">
        <v>0</v>
      </c>
      <c r="L219" s="20">
        <v>1400</v>
      </c>
      <c r="M219" s="20">
        <f t="shared" si="44"/>
        <v>1400</v>
      </c>
      <c r="N219" s="21">
        <v>0</v>
      </c>
      <c r="O219" s="21">
        <v>0</v>
      </c>
      <c r="P219" s="10">
        <v>0</v>
      </c>
      <c r="Q219" s="292">
        <f t="shared" si="45"/>
        <v>0</v>
      </c>
      <c r="R219" s="293">
        <f t="shared" si="46"/>
        <v>4.269247536583182E-05</v>
      </c>
    </row>
    <row r="220" spans="1:18" ht="16.5" customHeight="1">
      <c r="A220" s="17"/>
      <c r="B220" s="31" t="s">
        <v>491</v>
      </c>
      <c r="C220" s="29" t="s">
        <v>467</v>
      </c>
      <c r="D220" s="7"/>
      <c r="E220" s="7"/>
      <c r="F220" s="7"/>
      <c r="G220" s="7"/>
      <c r="H220" s="7"/>
      <c r="I220" s="7"/>
      <c r="J220" s="7"/>
      <c r="K220" s="20">
        <v>0</v>
      </c>
      <c r="L220" s="20">
        <v>1600</v>
      </c>
      <c r="M220" s="20">
        <f t="shared" si="44"/>
        <v>1600</v>
      </c>
      <c r="N220" s="21">
        <v>0</v>
      </c>
      <c r="O220" s="21">
        <v>0</v>
      </c>
      <c r="P220" s="10">
        <v>0</v>
      </c>
      <c r="Q220" s="292">
        <f t="shared" si="45"/>
        <v>0</v>
      </c>
      <c r="R220" s="293">
        <f t="shared" si="46"/>
        <v>4.879140041809351E-05</v>
      </c>
    </row>
    <row r="221" spans="1:18" ht="18" customHeight="1">
      <c r="A221" s="30"/>
      <c r="B221" s="31" t="s">
        <v>517</v>
      </c>
      <c r="C221" s="29" t="s">
        <v>980</v>
      </c>
      <c r="D221" s="8"/>
      <c r="E221" s="20"/>
      <c r="F221" s="20"/>
      <c r="G221" s="20"/>
      <c r="H221" s="20"/>
      <c r="I221" s="20"/>
      <c r="J221" s="20"/>
      <c r="K221" s="8">
        <v>19000</v>
      </c>
      <c r="L221" s="8">
        <v>0</v>
      </c>
      <c r="M221" s="20">
        <f t="shared" si="44"/>
        <v>0</v>
      </c>
      <c r="N221" s="24">
        <v>0</v>
      </c>
      <c r="O221" s="24">
        <v>0</v>
      </c>
      <c r="P221" s="10">
        <f>L221/K221</f>
        <v>0</v>
      </c>
      <c r="Q221" s="292">
        <f t="shared" si="45"/>
        <v>0.0005445300324648805</v>
      </c>
      <c r="R221" s="293">
        <f aca="true" t="shared" si="48" ref="R221:R230">L221/$L$662</f>
        <v>0</v>
      </c>
    </row>
    <row r="222" spans="1:18" s="442" customFormat="1" ht="15.75" customHeight="1">
      <c r="A222" s="443" t="s">
        <v>603</v>
      </c>
      <c r="B222" s="447"/>
      <c r="C222" s="449" t="s">
        <v>113</v>
      </c>
      <c r="D222" s="444">
        <f aca="true" t="shared" si="49" ref="D222:O222">D223+D225</f>
        <v>70000</v>
      </c>
      <c r="E222" s="444">
        <f t="shared" si="49"/>
        <v>750000</v>
      </c>
      <c r="F222" s="444">
        <f t="shared" si="49"/>
        <v>0</v>
      </c>
      <c r="G222" s="444">
        <f t="shared" si="49"/>
        <v>0</v>
      </c>
      <c r="H222" s="444">
        <f>H223+H225</f>
        <v>496142</v>
      </c>
      <c r="I222" s="444">
        <f>I223+I225</f>
        <v>0</v>
      </c>
      <c r="J222" s="444">
        <f>J223+J225</f>
        <v>0</v>
      </c>
      <c r="K222" s="444">
        <f>K223+K228</f>
        <v>654374</v>
      </c>
      <c r="L222" s="444">
        <f>L223+L228</f>
        <v>780893</v>
      </c>
      <c r="M222" s="444">
        <f t="shared" si="49"/>
        <v>0</v>
      </c>
      <c r="N222" s="446">
        <f t="shared" si="49"/>
        <v>780893</v>
      </c>
      <c r="O222" s="446">
        <f t="shared" si="49"/>
        <v>0</v>
      </c>
      <c r="P222" s="440">
        <f t="shared" si="47"/>
        <v>1.1933435619385855</v>
      </c>
      <c r="Q222" s="440">
        <f t="shared" si="45"/>
        <v>0.018754015550745986</v>
      </c>
      <c r="R222" s="441">
        <f t="shared" si="48"/>
        <v>0.023813039404178934</v>
      </c>
    </row>
    <row r="223" spans="1:18" ht="27" customHeight="1">
      <c r="A223" s="17" t="s">
        <v>604</v>
      </c>
      <c r="B223" s="27"/>
      <c r="C223" s="4" t="s">
        <v>605</v>
      </c>
      <c r="D223" s="7">
        <f>D224</f>
        <v>2700</v>
      </c>
      <c r="E223" s="7">
        <f>E224</f>
        <v>360000</v>
      </c>
      <c r="F223" s="7">
        <f>F224</f>
        <v>0</v>
      </c>
      <c r="G223" s="7">
        <f>G224</f>
        <v>0</v>
      </c>
      <c r="H223" s="7">
        <f aca="true" t="shared" si="50" ref="H223:O223">H224+H228</f>
        <v>496142</v>
      </c>
      <c r="I223" s="7">
        <f t="shared" si="50"/>
        <v>0</v>
      </c>
      <c r="J223" s="7">
        <f t="shared" si="50"/>
        <v>0</v>
      </c>
      <c r="K223" s="7">
        <f>K224</f>
        <v>653242</v>
      </c>
      <c r="L223" s="7">
        <f>L224</f>
        <v>600000</v>
      </c>
      <c r="M223" s="7">
        <f>M224+M228</f>
        <v>0</v>
      </c>
      <c r="N223" s="7">
        <f t="shared" si="50"/>
        <v>780893</v>
      </c>
      <c r="O223" s="7">
        <f t="shared" si="50"/>
        <v>0</v>
      </c>
      <c r="P223" s="454">
        <f t="shared" si="47"/>
        <v>0.9184957488955089</v>
      </c>
      <c r="Q223" s="292">
        <f t="shared" si="45"/>
        <v>0.018721573024601236</v>
      </c>
      <c r="R223" s="293">
        <f t="shared" si="48"/>
        <v>0.018296775156785065</v>
      </c>
    </row>
    <row r="224" spans="1:18" ht="14.25" customHeight="1">
      <c r="A224" s="30"/>
      <c r="B224" s="31" t="s">
        <v>606</v>
      </c>
      <c r="C224" s="29" t="s">
        <v>443</v>
      </c>
      <c r="D224" s="8">
        <v>2700</v>
      </c>
      <c r="E224" s="20">
        <v>360000</v>
      </c>
      <c r="F224" s="20">
        <v>0</v>
      </c>
      <c r="G224" s="20">
        <v>0</v>
      </c>
      <c r="H224" s="20">
        <v>463742</v>
      </c>
      <c r="I224" s="20">
        <v>0</v>
      </c>
      <c r="J224" s="20">
        <v>0</v>
      </c>
      <c r="K224" s="8">
        <v>653242</v>
      </c>
      <c r="L224" s="8">
        <v>600000</v>
      </c>
      <c r="M224" s="20">
        <v>0</v>
      </c>
      <c r="N224" s="24">
        <f>L224</f>
        <v>600000</v>
      </c>
      <c r="O224" s="24">
        <v>0</v>
      </c>
      <c r="P224" s="454">
        <f t="shared" si="47"/>
        <v>0.9184957488955089</v>
      </c>
      <c r="Q224" s="292">
        <f t="shared" si="45"/>
        <v>0.018721573024601236</v>
      </c>
      <c r="R224" s="293">
        <f t="shared" si="48"/>
        <v>0.018296775156785065</v>
      </c>
    </row>
    <row r="225" spans="1:18" ht="23.25" customHeight="1" hidden="1">
      <c r="A225" s="17" t="s">
        <v>607</v>
      </c>
      <c r="B225" s="27"/>
      <c r="C225" s="4" t="s">
        <v>407</v>
      </c>
      <c r="D225" s="7">
        <f>D227+D228</f>
        <v>67300</v>
      </c>
      <c r="E225" s="7">
        <f>E227+E228</f>
        <v>390000</v>
      </c>
      <c r="F225" s="7">
        <f>F227+F228</f>
        <v>0</v>
      </c>
      <c r="G225" s="7">
        <f>G227+G228</f>
        <v>0</v>
      </c>
      <c r="H225" s="7">
        <f>H226+H227</f>
        <v>0</v>
      </c>
      <c r="I225" s="7">
        <f>I226+I227</f>
        <v>0</v>
      </c>
      <c r="J225" s="7">
        <f>J226+J227</f>
        <v>0</v>
      </c>
      <c r="K225" s="7">
        <v>0</v>
      </c>
      <c r="L225" s="7"/>
      <c r="M225" s="7">
        <f>M227+M228</f>
        <v>0</v>
      </c>
      <c r="N225" s="7">
        <f>N226+N227</f>
        <v>0</v>
      </c>
      <c r="O225" s="19">
        <f>O227</f>
        <v>0</v>
      </c>
      <c r="P225" s="454" t="e">
        <f t="shared" si="47"/>
        <v>#DIV/0!</v>
      </c>
      <c r="Q225" s="292">
        <f t="shared" si="45"/>
        <v>0</v>
      </c>
      <c r="R225" s="293">
        <f t="shared" si="48"/>
        <v>0</v>
      </c>
    </row>
    <row r="226" spans="1:18" ht="21.75" customHeight="1" hidden="1">
      <c r="A226" s="17"/>
      <c r="B226" s="31" t="s">
        <v>608</v>
      </c>
      <c r="C226" s="29" t="s">
        <v>320</v>
      </c>
      <c r="D226" s="20"/>
      <c r="E226" s="20"/>
      <c r="F226" s="20"/>
      <c r="G226" s="20"/>
      <c r="H226" s="20">
        <v>0</v>
      </c>
      <c r="I226" s="20">
        <v>0</v>
      </c>
      <c r="J226" s="20">
        <v>0</v>
      </c>
      <c r="K226" s="8">
        <v>0</v>
      </c>
      <c r="L226" s="8"/>
      <c r="M226" s="20">
        <v>0</v>
      </c>
      <c r="N226" s="21">
        <f>K226</f>
        <v>0</v>
      </c>
      <c r="O226" s="21">
        <v>0</v>
      </c>
      <c r="P226" s="454" t="e">
        <f t="shared" si="47"/>
        <v>#DIV/0!</v>
      </c>
      <c r="Q226" s="292">
        <f t="shared" si="45"/>
        <v>0</v>
      </c>
      <c r="R226" s="293">
        <f t="shared" si="48"/>
        <v>0</v>
      </c>
    </row>
    <row r="227" spans="1:18" ht="0.75" customHeight="1" hidden="1">
      <c r="A227" s="17"/>
      <c r="B227" s="31" t="s">
        <v>609</v>
      </c>
      <c r="C227" s="29" t="s">
        <v>321</v>
      </c>
      <c r="D227" s="8">
        <v>67300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8">
        <v>0</v>
      </c>
      <c r="L227" s="8"/>
      <c r="M227" s="20">
        <v>0</v>
      </c>
      <c r="N227" s="24">
        <f>K227</f>
        <v>0</v>
      </c>
      <c r="O227" s="24">
        <v>0</v>
      </c>
      <c r="P227" s="454" t="e">
        <f t="shared" si="47"/>
        <v>#DIV/0!</v>
      </c>
      <c r="Q227" s="292">
        <f t="shared" si="45"/>
        <v>0</v>
      </c>
      <c r="R227" s="293">
        <f t="shared" si="48"/>
        <v>0</v>
      </c>
    </row>
    <row r="228" spans="1:18" s="37" customFormat="1" ht="52.5" customHeight="1">
      <c r="A228" s="17" t="s">
        <v>607</v>
      </c>
      <c r="B228" s="27"/>
      <c r="C228" s="4" t="s">
        <v>799</v>
      </c>
      <c r="D228" s="7">
        <v>0</v>
      </c>
      <c r="E228" s="7">
        <v>390000</v>
      </c>
      <c r="F228" s="7">
        <v>0</v>
      </c>
      <c r="G228" s="7">
        <v>0</v>
      </c>
      <c r="H228" s="7">
        <v>32400</v>
      </c>
      <c r="I228" s="7">
        <v>0</v>
      </c>
      <c r="J228" s="7">
        <v>0</v>
      </c>
      <c r="K228" s="7">
        <f>K230</f>
        <v>1132</v>
      </c>
      <c r="L228" s="7">
        <f>L229+L230</f>
        <v>180893</v>
      </c>
      <c r="M228" s="7">
        <f aca="true" t="shared" si="51" ref="M228:O229">M229+M230</f>
        <v>0</v>
      </c>
      <c r="N228" s="7">
        <f t="shared" si="51"/>
        <v>180893</v>
      </c>
      <c r="O228" s="7">
        <f t="shared" si="51"/>
        <v>0</v>
      </c>
      <c r="P228" s="454">
        <f t="shared" si="47"/>
        <v>159.7994699646643</v>
      </c>
      <c r="Q228" s="292">
        <f t="shared" si="45"/>
        <v>3.244252614474972E-05</v>
      </c>
      <c r="R228" s="293">
        <f t="shared" si="48"/>
        <v>0.005516264247393868</v>
      </c>
    </row>
    <row r="229" spans="1:18" s="37" customFormat="1" ht="26.25" customHeight="1">
      <c r="A229" s="30"/>
      <c r="B229" s="31" t="s">
        <v>608</v>
      </c>
      <c r="C229" s="29" t="s">
        <v>161</v>
      </c>
      <c r="D229" s="20"/>
      <c r="E229" s="20"/>
      <c r="F229" s="20"/>
      <c r="G229" s="20"/>
      <c r="H229" s="20"/>
      <c r="I229" s="20"/>
      <c r="J229" s="20"/>
      <c r="K229" s="20">
        <v>0</v>
      </c>
      <c r="L229" s="20">
        <v>73217</v>
      </c>
      <c r="M229" s="7">
        <f t="shared" si="51"/>
        <v>0</v>
      </c>
      <c r="N229" s="20">
        <f>L229</f>
        <v>73217</v>
      </c>
      <c r="O229" s="20"/>
      <c r="P229" s="454">
        <v>0</v>
      </c>
      <c r="Q229" s="292">
        <f t="shared" si="45"/>
        <v>0</v>
      </c>
      <c r="R229" s="293">
        <f t="shared" si="48"/>
        <v>0.0022327249777572204</v>
      </c>
    </row>
    <row r="230" spans="1:30" ht="18.75" customHeight="1">
      <c r="A230" s="30"/>
      <c r="B230" s="31" t="s">
        <v>608</v>
      </c>
      <c r="C230" s="29" t="s">
        <v>161</v>
      </c>
      <c r="D230" s="8"/>
      <c r="E230" s="20"/>
      <c r="F230" s="20"/>
      <c r="G230" s="20"/>
      <c r="H230" s="20"/>
      <c r="I230" s="20"/>
      <c r="J230" s="20"/>
      <c r="K230" s="20">
        <v>1132</v>
      </c>
      <c r="L230" s="20">
        <v>107676</v>
      </c>
      <c r="M230" s="20">
        <v>0</v>
      </c>
      <c r="N230" s="24">
        <f>L230</f>
        <v>107676</v>
      </c>
      <c r="O230" s="21">
        <v>0</v>
      </c>
      <c r="P230" s="454">
        <f t="shared" si="47"/>
        <v>95.12014134275618</v>
      </c>
      <c r="Q230" s="292">
        <f t="shared" si="45"/>
        <v>3.244252614474972E-05</v>
      </c>
      <c r="R230" s="293">
        <f t="shared" si="48"/>
        <v>0.003283539269636648</v>
      </c>
      <c r="S230" s="459"/>
      <c r="T230" s="459"/>
      <c r="U230" s="459"/>
      <c r="V230" s="459"/>
      <c r="W230" s="459"/>
      <c r="X230" s="459"/>
      <c r="Y230" s="459"/>
      <c r="Z230" s="459"/>
      <c r="AA230" s="459"/>
      <c r="AB230" s="459"/>
      <c r="AC230" s="459"/>
      <c r="AD230" s="459"/>
    </row>
    <row r="231" spans="1:30" s="442" customFormat="1" ht="16.5" customHeight="1">
      <c r="A231" s="443" t="s">
        <v>610</v>
      </c>
      <c r="B231" s="447"/>
      <c r="C231" s="449" t="s">
        <v>611</v>
      </c>
      <c r="D231" s="444">
        <f aca="true" t="shared" si="52" ref="D231:O231">D232</f>
        <v>0</v>
      </c>
      <c r="E231" s="444">
        <f t="shared" si="52"/>
        <v>0</v>
      </c>
      <c r="F231" s="444">
        <f t="shared" si="52"/>
        <v>0</v>
      </c>
      <c r="G231" s="444">
        <f t="shared" si="52"/>
        <v>0</v>
      </c>
      <c r="H231" s="444">
        <f>H232</f>
        <v>53260</v>
      </c>
      <c r="I231" s="444">
        <f>I232</f>
        <v>0</v>
      </c>
      <c r="J231" s="444">
        <f>J232</f>
        <v>0</v>
      </c>
      <c r="K231" s="444">
        <f>K232</f>
        <v>0</v>
      </c>
      <c r="L231" s="444">
        <f>L232</f>
        <v>388340</v>
      </c>
      <c r="M231" s="444">
        <f t="shared" si="52"/>
        <v>0</v>
      </c>
      <c r="N231" s="446">
        <f t="shared" si="52"/>
        <v>388340</v>
      </c>
      <c r="O231" s="446">
        <f t="shared" si="52"/>
        <v>0</v>
      </c>
      <c r="P231" s="440">
        <v>0</v>
      </c>
      <c r="Q231" s="440">
        <f t="shared" si="45"/>
        <v>0</v>
      </c>
      <c r="R231" s="441">
        <f aca="true" t="shared" si="53" ref="R231:R276">L231/$L$662</f>
        <v>0.011842282773976521</v>
      </c>
      <c r="S231" s="459"/>
      <c r="T231" s="459"/>
      <c r="U231" s="459"/>
      <c r="V231" s="459"/>
      <c r="W231" s="459"/>
      <c r="X231" s="459"/>
      <c r="Y231" s="459"/>
      <c r="Z231" s="459"/>
      <c r="AA231" s="459"/>
      <c r="AB231" s="459"/>
      <c r="AC231" s="459"/>
      <c r="AD231" s="459"/>
    </row>
    <row r="232" spans="1:30" ht="15" customHeight="1">
      <c r="A232" s="17" t="s">
        <v>612</v>
      </c>
      <c r="B232" s="27"/>
      <c r="C232" s="4" t="s">
        <v>613</v>
      </c>
      <c r="D232" s="7">
        <f>D233+D234+D235</f>
        <v>0</v>
      </c>
      <c r="E232" s="7">
        <f>E233+E234+E235</f>
        <v>0</v>
      </c>
      <c r="F232" s="7">
        <f aca="true" t="shared" si="54" ref="F232:O232">F233+F234</f>
        <v>0</v>
      </c>
      <c r="G232" s="7">
        <f t="shared" si="54"/>
        <v>0</v>
      </c>
      <c r="H232" s="7">
        <f t="shared" si="54"/>
        <v>53260</v>
      </c>
      <c r="I232" s="7">
        <f t="shared" si="54"/>
        <v>0</v>
      </c>
      <c r="J232" s="7">
        <f t="shared" si="54"/>
        <v>0</v>
      </c>
      <c r="K232" s="7">
        <f t="shared" si="54"/>
        <v>0</v>
      </c>
      <c r="L232" s="7">
        <f t="shared" si="54"/>
        <v>388340</v>
      </c>
      <c r="M232" s="7">
        <f t="shared" si="54"/>
        <v>0</v>
      </c>
      <c r="N232" s="7">
        <f t="shared" si="54"/>
        <v>388340</v>
      </c>
      <c r="O232" s="19">
        <f t="shared" si="54"/>
        <v>0</v>
      </c>
      <c r="P232" s="454">
        <v>0</v>
      </c>
      <c r="Q232" s="292">
        <f t="shared" si="45"/>
        <v>0</v>
      </c>
      <c r="R232" s="293">
        <f t="shared" si="53"/>
        <v>0.011842282773976521</v>
      </c>
      <c r="S232" s="459"/>
      <c r="T232" s="459"/>
      <c r="U232" s="459"/>
      <c r="V232" s="459"/>
      <c r="W232" s="459"/>
      <c r="X232" s="459"/>
      <c r="Y232" s="459"/>
      <c r="Z232" s="459"/>
      <c r="AA232" s="459"/>
      <c r="AB232" s="459"/>
      <c r="AC232" s="459"/>
      <c r="AD232" s="459"/>
    </row>
    <row r="233" spans="1:30" ht="17.25" customHeight="1">
      <c r="A233" s="30"/>
      <c r="B233" s="31" t="s">
        <v>614</v>
      </c>
      <c r="C233" s="29" t="s">
        <v>615</v>
      </c>
      <c r="D233" s="8">
        <v>0</v>
      </c>
      <c r="E233" s="20">
        <v>0</v>
      </c>
      <c r="F233" s="20">
        <v>0</v>
      </c>
      <c r="G233" s="20">
        <v>0</v>
      </c>
      <c r="H233" s="8">
        <v>18000</v>
      </c>
      <c r="I233" s="8"/>
      <c r="J233" s="8">
        <v>0</v>
      </c>
      <c r="K233" s="8">
        <v>0</v>
      </c>
      <c r="L233" s="8">
        <v>0</v>
      </c>
      <c r="M233" s="20">
        <v>0</v>
      </c>
      <c r="N233" s="24">
        <f>L233</f>
        <v>0</v>
      </c>
      <c r="O233" s="24">
        <v>0</v>
      </c>
      <c r="P233" s="454">
        <v>0</v>
      </c>
      <c r="Q233" s="292">
        <f t="shared" si="45"/>
        <v>0</v>
      </c>
      <c r="R233" s="293">
        <f t="shared" si="53"/>
        <v>0</v>
      </c>
      <c r="S233" s="459"/>
      <c r="T233" s="459"/>
      <c r="U233" s="459"/>
      <c r="V233" s="459"/>
      <c r="W233" s="459"/>
      <c r="X233" s="459"/>
      <c r="Y233" s="459"/>
      <c r="Z233" s="459"/>
      <c r="AA233" s="459"/>
      <c r="AB233" s="459"/>
      <c r="AC233" s="459"/>
      <c r="AD233" s="459"/>
    </row>
    <row r="234" spans="1:30" ht="17.25" customHeight="1">
      <c r="A234" s="30"/>
      <c r="B234" s="31" t="s">
        <v>614</v>
      </c>
      <c r="C234" s="29" t="s">
        <v>616</v>
      </c>
      <c r="D234" s="8">
        <v>0</v>
      </c>
      <c r="E234" s="20">
        <v>0</v>
      </c>
      <c r="F234" s="20">
        <v>0</v>
      </c>
      <c r="G234" s="20">
        <v>0</v>
      </c>
      <c r="H234" s="8">
        <v>35260</v>
      </c>
      <c r="I234" s="8">
        <v>0</v>
      </c>
      <c r="J234" s="8">
        <v>0</v>
      </c>
      <c r="K234" s="8">
        <v>0</v>
      </c>
      <c r="L234" s="8">
        <v>388340</v>
      </c>
      <c r="M234" s="20">
        <v>0</v>
      </c>
      <c r="N234" s="24">
        <f>L234</f>
        <v>388340</v>
      </c>
      <c r="O234" s="24">
        <v>0</v>
      </c>
      <c r="P234" s="454">
        <v>0</v>
      </c>
      <c r="Q234" s="292">
        <f t="shared" si="45"/>
        <v>0</v>
      </c>
      <c r="R234" s="293">
        <f t="shared" si="53"/>
        <v>0.011842282773976521</v>
      </c>
      <c r="S234" s="459"/>
      <c r="T234" s="459"/>
      <c r="U234" s="459"/>
      <c r="V234" s="459"/>
      <c r="W234" s="459"/>
      <c r="X234" s="459"/>
      <c r="Y234" s="459"/>
      <c r="Z234" s="459"/>
      <c r="AA234" s="459"/>
      <c r="AB234" s="459"/>
      <c r="AC234" s="459"/>
      <c r="AD234" s="459"/>
    </row>
    <row r="235" spans="1:30" ht="2.25" customHeight="1" hidden="1">
      <c r="A235" s="30"/>
      <c r="B235" s="31" t="s">
        <v>614</v>
      </c>
      <c r="C235" s="29" t="s">
        <v>112</v>
      </c>
      <c r="D235" s="8">
        <v>0</v>
      </c>
      <c r="E235" s="20"/>
      <c r="F235" s="20"/>
      <c r="G235" s="20"/>
      <c r="H235" s="8"/>
      <c r="I235" s="8"/>
      <c r="J235" s="8"/>
      <c r="K235" s="8">
        <v>0</v>
      </c>
      <c r="L235" s="8">
        <v>0</v>
      </c>
      <c r="M235" s="20">
        <v>0</v>
      </c>
      <c r="N235" s="24">
        <f>L235</f>
        <v>0</v>
      </c>
      <c r="O235" s="24">
        <v>0</v>
      </c>
      <c r="P235" s="440" t="e">
        <f t="shared" si="47"/>
        <v>#DIV/0!</v>
      </c>
      <c r="Q235" s="292">
        <f t="shared" si="45"/>
        <v>0</v>
      </c>
      <c r="R235" s="293">
        <f t="shared" si="53"/>
        <v>0</v>
      </c>
      <c r="S235" s="459"/>
      <c r="T235" s="459"/>
      <c r="U235" s="459"/>
      <c r="V235" s="459"/>
      <c r="W235" s="459"/>
      <c r="X235" s="459"/>
      <c r="Y235" s="459"/>
      <c r="Z235" s="459"/>
      <c r="AA235" s="459"/>
      <c r="AB235" s="459"/>
      <c r="AC235" s="459"/>
      <c r="AD235" s="459"/>
    </row>
    <row r="236" spans="1:30" s="442" customFormat="1" ht="16.5" customHeight="1">
      <c r="A236" s="443" t="s">
        <v>617</v>
      </c>
      <c r="B236" s="447"/>
      <c r="C236" s="449" t="s">
        <v>618</v>
      </c>
      <c r="D236" s="444" t="e">
        <f>D237+D254+D267+D355+D301+D334+D368+#REF!</f>
        <v>#REF!</v>
      </c>
      <c r="E236" s="444" t="e">
        <f>E237+E254+E267+E355+E301+E334+E368+#REF!+E379+E386+E381+#REF!</f>
        <v>#REF!</v>
      </c>
      <c r="F236" s="444" t="e">
        <f>F237+F254+F267+F301+F334+F355+F368+F379+F381+F386+#REF!+#REF!</f>
        <v>#REF!</v>
      </c>
      <c r="G236" s="444" t="e">
        <f>G237+G254+G267+G301+G334+G355+G368+G379+G381+G386+#REF!+#REF!</f>
        <v>#REF!</v>
      </c>
      <c r="H236" s="444" t="e">
        <f>H237+H252+H254+H267+H291+H301+H368+H381+H386+#REF!</f>
        <v>#REF!</v>
      </c>
      <c r="I236" s="444" t="e">
        <f>I237+I252+I254+I267+I291+I301+I368+I381+I386+#REF!</f>
        <v>#REF!</v>
      </c>
      <c r="J236" s="444" t="e">
        <f>J237+J252+J254+J267+J291+J301+J368+J381+J386+#REF!</f>
        <v>#REF!</v>
      </c>
      <c r="K236" s="444">
        <f>K237+K252+K254+K267+K291+K301+K368+K381+K386+K394</f>
        <v>10166771</v>
      </c>
      <c r="L236" s="444">
        <f>L237+L252+L254+L267+L291+L301+L368+L381+L386</f>
        <v>10086269</v>
      </c>
      <c r="M236" s="444">
        <f>M237+M252+M254+M267+M291+M301+M368+M381+M386</f>
        <v>0</v>
      </c>
      <c r="N236" s="444">
        <f>N237+N252+N254+N267+N291+N301+N368+N381+N386</f>
        <v>10074269</v>
      </c>
      <c r="O236" s="444">
        <f>O237+O252+O254+O267+O291+O301+O368+O381+O386</f>
        <v>12000</v>
      </c>
      <c r="P236" s="440">
        <f t="shared" si="47"/>
        <v>0.9920818517501772</v>
      </c>
      <c r="Q236" s="440">
        <f t="shared" si="45"/>
        <v>0.29137432329963187</v>
      </c>
      <c r="R236" s="441">
        <f t="shared" si="53"/>
        <v>0.30757699343975226</v>
      </c>
      <c r="S236" s="459"/>
      <c r="T236" s="459"/>
      <c r="U236" s="459"/>
      <c r="V236" s="459"/>
      <c r="W236" s="459"/>
      <c r="X236" s="459"/>
      <c r="Y236" s="459"/>
      <c r="Z236" s="459"/>
      <c r="AA236" s="459"/>
      <c r="AB236" s="459"/>
      <c r="AC236" s="459"/>
      <c r="AD236" s="459"/>
    </row>
    <row r="237" spans="1:18" ht="16.5" customHeight="1">
      <c r="A237" s="17" t="s">
        <v>619</v>
      </c>
      <c r="B237" s="27"/>
      <c r="C237" s="4" t="s">
        <v>620</v>
      </c>
      <c r="D237" s="7">
        <f>D239+D240+D241+D250</f>
        <v>1274233</v>
      </c>
      <c r="E237" s="7" t="e">
        <f>E239+E240+E241+E242+E238+E244+#REF!+E245+#REF!+E247+E248+E249</f>
        <v>#REF!</v>
      </c>
      <c r="F237" s="7" t="e">
        <f>F239+F240+F241+F242+F238+F244+#REF!+F245+#REF!+F247+F248+F249</f>
        <v>#REF!</v>
      </c>
      <c r="G237" s="7" t="e">
        <f>G239+G240+G241+G242+G238+G244+#REF!+G245+#REF!+G247+G248+G249</f>
        <v>#REF!</v>
      </c>
      <c r="H237" s="7" t="e">
        <f>H239+H240+H241+H242+H244+H245+H247+H248+H249+H251+#REF!</f>
        <v>#REF!</v>
      </c>
      <c r="I237" s="7" t="e">
        <f>I239+I240+I241+I242+I244+I245+I247+I248+I249+I251+#REF!</f>
        <v>#REF!</v>
      </c>
      <c r="J237" s="7" t="e">
        <f>J239+J240+J241+J242+J244+J245+J247+J248+J249+J251+#REF!</f>
        <v>#REF!</v>
      </c>
      <c r="K237" s="7">
        <f>SUM(K238:K251)</f>
        <v>845909</v>
      </c>
      <c r="L237" s="7">
        <f>L239+L240+L241+L242+L243+L244+L245+L246+L247+L248+L249+L251+L238</f>
        <v>913386</v>
      </c>
      <c r="M237" s="7">
        <f>M239+M240+M241+M242+M243+M244+M245+M246+M247+M248+M249+M251+M238</f>
        <v>0</v>
      </c>
      <c r="N237" s="7">
        <f>N239+N240+N241+N242+N243+N244+N245+N246+N247+N248+N249+N251+N238</f>
        <v>913386</v>
      </c>
      <c r="O237" s="7">
        <f>O239+O240+O241+O242+O243+O244+O245+O246+O247+O248+O249+O251+O238</f>
        <v>0</v>
      </c>
      <c r="P237" s="454">
        <f t="shared" si="47"/>
        <v>1.079768627594694</v>
      </c>
      <c r="Q237" s="292">
        <f t="shared" si="45"/>
        <v>0.024243308170122876</v>
      </c>
      <c r="R237" s="293">
        <f t="shared" si="53"/>
        <v>0.027853363788925473</v>
      </c>
    </row>
    <row r="238" spans="1:18" ht="18" customHeight="1">
      <c r="A238" s="17"/>
      <c r="B238" s="25" t="s">
        <v>461</v>
      </c>
      <c r="C238" s="11" t="s">
        <v>160</v>
      </c>
      <c r="D238" s="8"/>
      <c r="E238" s="8">
        <v>1974</v>
      </c>
      <c r="F238" s="8">
        <v>0</v>
      </c>
      <c r="G238" s="8">
        <v>0</v>
      </c>
      <c r="H238" s="8"/>
      <c r="I238" s="8"/>
      <c r="J238" s="8"/>
      <c r="K238" s="8">
        <v>0</v>
      </c>
      <c r="L238" s="8">
        <v>0</v>
      </c>
      <c r="M238" s="8">
        <v>0</v>
      </c>
      <c r="N238" s="24">
        <f>L238</f>
        <v>0</v>
      </c>
      <c r="O238" s="24">
        <v>0</v>
      </c>
      <c r="P238" s="454">
        <v>0</v>
      </c>
      <c r="Q238" s="292">
        <f t="shared" si="45"/>
        <v>0</v>
      </c>
      <c r="R238" s="293">
        <f t="shared" si="53"/>
        <v>0</v>
      </c>
    </row>
    <row r="239" spans="1:18" ht="25.5" customHeight="1">
      <c r="A239" s="17"/>
      <c r="B239" s="18" t="s">
        <v>475</v>
      </c>
      <c r="C239" s="11" t="s">
        <v>476</v>
      </c>
      <c r="D239" s="8">
        <v>866965</v>
      </c>
      <c r="E239" s="8">
        <v>823342</v>
      </c>
      <c r="F239" s="8">
        <v>45000</v>
      </c>
      <c r="G239" s="8">
        <v>24814</v>
      </c>
      <c r="H239" s="8">
        <v>355622</v>
      </c>
      <c r="I239" s="8">
        <v>0</v>
      </c>
      <c r="J239" s="8">
        <v>0</v>
      </c>
      <c r="K239" s="8">
        <v>393709</v>
      </c>
      <c r="L239" s="8">
        <v>456714</v>
      </c>
      <c r="M239" s="8">
        <v>0</v>
      </c>
      <c r="N239" s="24">
        <f>L239</f>
        <v>456714</v>
      </c>
      <c r="O239" s="24">
        <v>0</v>
      </c>
      <c r="P239" s="454">
        <f t="shared" si="47"/>
        <v>1.160029361787513</v>
      </c>
      <c r="Q239" s="292">
        <f t="shared" si="45"/>
        <v>0.011283493397458719</v>
      </c>
      <c r="R239" s="293">
        <f t="shared" si="53"/>
        <v>0.013927322281593225</v>
      </c>
    </row>
    <row r="240" spans="1:18" ht="15.75" customHeight="1">
      <c r="A240" s="17"/>
      <c r="B240" s="18" t="s">
        <v>479</v>
      </c>
      <c r="C240" s="11" t="s">
        <v>480</v>
      </c>
      <c r="D240" s="8">
        <v>75166</v>
      </c>
      <c r="E240" s="8">
        <v>81513</v>
      </c>
      <c r="F240" s="8">
        <v>0</v>
      </c>
      <c r="G240" s="8">
        <v>0</v>
      </c>
      <c r="H240" s="8">
        <v>40794</v>
      </c>
      <c r="I240" s="8">
        <v>0</v>
      </c>
      <c r="J240" s="8">
        <v>0</v>
      </c>
      <c r="K240" s="8">
        <v>31860</v>
      </c>
      <c r="L240" s="8">
        <v>33500</v>
      </c>
      <c r="M240" s="8">
        <v>0</v>
      </c>
      <c r="N240" s="24">
        <f aca="true" t="shared" si="55" ref="N240:N251">L240</f>
        <v>33500</v>
      </c>
      <c r="O240" s="24">
        <v>0</v>
      </c>
      <c r="P240" s="454">
        <f t="shared" si="47"/>
        <v>1.051475204017577</v>
      </c>
      <c r="Q240" s="292">
        <f t="shared" si="45"/>
        <v>0.000913090886017426</v>
      </c>
      <c r="R240" s="293">
        <f t="shared" si="53"/>
        <v>0.0010215699462538328</v>
      </c>
    </row>
    <row r="241" spans="1:18" ht="15" customHeight="1">
      <c r="A241" s="17"/>
      <c r="B241" s="25" t="s">
        <v>532</v>
      </c>
      <c r="C241" s="11" t="s">
        <v>509</v>
      </c>
      <c r="D241" s="8">
        <v>205528</v>
      </c>
      <c r="E241" s="8">
        <v>158209</v>
      </c>
      <c r="F241" s="8">
        <v>8046</v>
      </c>
      <c r="G241" s="8">
        <v>4948</v>
      </c>
      <c r="H241" s="8">
        <v>70500</v>
      </c>
      <c r="I241" s="8">
        <v>0</v>
      </c>
      <c r="J241" s="8">
        <v>0</v>
      </c>
      <c r="K241" s="8">
        <v>89000</v>
      </c>
      <c r="L241" s="8">
        <v>88900</v>
      </c>
      <c r="M241" s="8">
        <v>0</v>
      </c>
      <c r="N241" s="24">
        <f t="shared" si="55"/>
        <v>88900</v>
      </c>
      <c r="O241" s="24">
        <v>0</v>
      </c>
      <c r="P241" s="454">
        <f t="shared" si="47"/>
        <v>0.998876404494382</v>
      </c>
      <c r="Q241" s="292">
        <f t="shared" si="45"/>
        <v>0.002550693309967072</v>
      </c>
      <c r="R241" s="293">
        <f t="shared" si="53"/>
        <v>0.0027109721857303207</v>
      </c>
    </row>
    <row r="242" spans="1:18" ht="15" customHeight="1">
      <c r="A242" s="17"/>
      <c r="B242" s="25" t="s">
        <v>483</v>
      </c>
      <c r="C242" s="11" t="s">
        <v>484</v>
      </c>
      <c r="D242" s="8"/>
      <c r="E242" s="8">
        <v>21676</v>
      </c>
      <c r="F242" s="8">
        <v>1102</v>
      </c>
      <c r="G242" s="8">
        <v>680</v>
      </c>
      <c r="H242" s="8">
        <v>9660</v>
      </c>
      <c r="I242" s="8">
        <v>0</v>
      </c>
      <c r="J242" s="8">
        <v>0</v>
      </c>
      <c r="K242" s="8">
        <v>10900</v>
      </c>
      <c r="L242" s="8">
        <v>12000</v>
      </c>
      <c r="M242" s="8">
        <v>0</v>
      </c>
      <c r="N242" s="24">
        <f t="shared" si="55"/>
        <v>12000</v>
      </c>
      <c r="O242" s="24">
        <v>0</v>
      </c>
      <c r="P242" s="454">
        <f t="shared" si="47"/>
        <v>1.1009174311926606</v>
      </c>
      <c r="Q242" s="292">
        <f t="shared" si="45"/>
        <v>0.0003123882817824841</v>
      </c>
      <c r="R242" s="293">
        <f t="shared" si="53"/>
        <v>0.0003659355031357013</v>
      </c>
    </row>
    <row r="243" spans="1:18" ht="15" customHeight="1">
      <c r="A243" s="17"/>
      <c r="B243" s="25" t="s">
        <v>256</v>
      </c>
      <c r="C243" s="11" t="s">
        <v>257</v>
      </c>
      <c r="D243" s="8"/>
      <c r="E243" s="8"/>
      <c r="F243" s="8"/>
      <c r="G243" s="8"/>
      <c r="H243" s="8"/>
      <c r="I243" s="8"/>
      <c r="J243" s="8"/>
      <c r="K243" s="8">
        <v>0</v>
      </c>
      <c r="L243" s="8">
        <v>2000</v>
      </c>
      <c r="M243" s="8">
        <v>0</v>
      </c>
      <c r="N243" s="24">
        <f>L243</f>
        <v>2000</v>
      </c>
      <c r="O243" s="24"/>
      <c r="P243" s="454">
        <v>0</v>
      </c>
      <c r="Q243" s="292">
        <f t="shared" si="45"/>
        <v>0</v>
      </c>
      <c r="R243" s="293">
        <f t="shared" si="53"/>
        <v>6.098925052261689E-05</v>
      </c>
    </row>
    <row r="244" spans="1:18" ht="16.5" customHeight="1">
      <c r="A244" s="17"/>
      <c r="B244" s="25" t="s">
        <v>485</v>
      </c>
      <c r="C244" s="11" t="s">
        <v>623</v>
      </c>
      <c r="D244" s="8"/>
      <c r="E244" s="8">
        <v>35892</v>
      </c>
      <c r="F244" s="8">
        <v>2000</v>
      </c>
      <c r="G244" s="8">
        <v>0</v>
      </c>
      <c r="H244" s="8">
        <v>22000</v>
      </c>
      <c r="I244" s="8">
        <v>0</v>
      </c>
      <c r="J244" s="8">
        <v>0</v>
      </c>
      <c r="K244" s="8">
        <v>42500</v>
      </c>
      <c r="L244" s="8">
        <v>43500</v>
      </c>
      <c r="M244" s="8">
        <v>0</v>
      </c>
      <c r="N244" s="24">
        <f t="shared" si="55"/>
        <v>43500</v>
      </c>
      <c r="O244" s="24">
        <v>0</v>
      </c>
      <c r="P244" s="454">
        <f t="shared" si="47"/>
        <v>1.0235294117647058</v>
      </c>
      <c r="Q244" s="292">
        <f t="shared" si="45"/>
        <v>0.0012180277041977591</v>
      </c>
      <c r="R244" s="293">
        <f t="shared" si="53"/>
        <v>0.0013265161988669173</v>
      </c>
    </row>
    <row r="245" spans="1:18" ht="16.5" customHeight="1">
      <c r="A245" s="17"/>
      <c r="B245" s="25" t="s">
        <v>487</v>
      </c>
      <c r="C245" s="11" t="s">
        <v>584</v>
      </c>
      <c r="D245" s="8"/>
      <c r="E245" s="8">
        <v>12822</v>
      </c>
      <c r="F245" s="8">
        <v>0</v>
      </c>
      <c r="G245" s="8">
        <v>0</v>
      </c>
      <c r="H245" s="8">
        <v>8850</v>
      </c>
      <c r="I245" s="8">
        <v>0</v>
      </c>
      <c r="J245" s="8">
        <v>0</v>
      </c>
      <c r="K245" s="8">
        <v>9000</v>
      </c>
      <c r="L245" s="8">
        <v>9135</v>
      </c>
      <c r="M245" s="8">
        <v>0</v>
      </c>
      <c r="N245" s="24">
        <f t="shared" si="55"/>
        <v>9135</v>
      </c>
      <c r="O245" s="24">
        <v>0</v>
      </c>
      <c r="P245" s="454">
        <f t="shared" si="47"/>
        <v>1.015</v>
      </c>
      <c r="Q245" s="292">
        <f t="shared" si="45"/>
        <v>0.00025793527853599607</v>
      </c>
      <c r="R245" s="293">
        <f t="shared" si="53"/>
        <v>0.00027856840176205264</v>
      </c>
    </row>
    <row r="246" spans="1:18" ht="16.5" customHeight="1">
      <c r="A246" s="17"/>
      <c r="B246" s="25" t="s">
        <v>489</v>
      </c>
      <c r="C246" s="11" t="s">
        <v>490</v>
      </c>
      <c r="D246" s="8"/>
      <c r="E246" s="8"/>
      <c r="F246" s="8"/>
      <c r="G246" s="8"/>
      <c r="H246" s="8"/>
      <c r="I246" s="8"/>
      <c r="J246" s="8"/>
      <c r="K246" s="8">
        <v>0</v>
      </c>
      <c r="L246" s="8">
        <v>0</v>
      </c>
      <c r="M246" s="8">
        <v>0</v>
      </c>
      <c r="N246" s="24">
        <f>L246</f>
        <v>0</v>
      </c>
      <c r="O246" s="24">
        <v>0</v>
      </c>
      <c r="P246" s="454">
        <v>0</v>
      </c>
      <c r="Q246" s="292">
        <f>K245/$K$662</f>
        <v>0.00025793527853599607</v>
      </c>
      <c r="R246" s="293">
        <f t="shared" si="53"/>
        <v>0</v>
      </c>
    </row>
    <row r="247" spans="1:18" ht="16.5" customHeight="1">
      <c r="A247" s="17"/>
      <c r="B247" s="25" t="s">
        <v>491</v>
      </c>
      <c r="C247" s="11" t="s">
        <v>586</v>
      </c>
      <c r="D247" s="8"/>
      <c r="E247" s="8">
        <v>9517</v>
      </c>
      <c r="F247" s="8">
        <v>0</v>
      </c>
      <c r="G247" s="8">
        <v>0</v>
      </c>
      <c r="H247" s="8">
        <v>5400</v>
      </c>
      <c r="I247" s="8">
        <v>0</v>
      </c>
      <c r="J247" s="8">
        <v>0</v>
      </c>
      <c r="K247" s="8">
        <v>15600</v>
      </c>
      <c r="L247" s="8">
        <v>16380</v>
      </c>
      <c r="M247" s="8">
        <v>0</v>
      </c>
      <c r="N247" s="24">
        <f t="shared" si="55"/>
        <v>16380</v>
      </c>
      <c r="O247" s="24">
        <v>0</v>
      </c>
      <c r="P247" s="454">
        <f t="shared" si="47"/>
        <v>1.05</v>
      </c>
      <c r="Q247" s="292">
        <f aca="true" t="shared" si="56" ref="Q247:Q276">K247/$K$662</f>
        <v>0.0004470878161290598</v>
      </c>
      <c r="R247" s="293">
        <f t="shared" si="53"/>
        <v>0.0004995019617802323</v>
      </c>
    </row>
    <row r="248" spans="1:18" ht="15" customHeight="1">
      <c r="A248" s="17"/>
      <c r="B248" s="25" t="s">
        <v>493</v>
      </c>
      <c r="C248" s="11" t="s">
        <v>494</v>
      </c>
      <c r="D248" s="8"/>
      <c r="E248" s="8">
        <v>229</v>
      </c>
      <c r="F248" s="8">
        <v>800</v>
      </c>
      <c r="G248" s="8">
        <v>0</v>
      </c>
      <c r="H248" s="8">
        <v>200</v>
      </c>
      <c r="I248" s="8">
        <v>0</v>
      </c>
      <c r="J248" s="8">
        <v>0</v>
      </c>
      <c r="K248" s="8">
        <v>1000</v>
      </c>
      <c r="L248" s="8">
        <v>1200</v>
      </c>
      <c r="M248" s="8">
        <v>0</v>
      </c>
      <c r="N248" s="24">
        <f t="shared" si="55"/>
        <v>1200</v>
      </c>
      <c r="O248" s="24">
        <v>0</v>
      </c>
      <c r="P248" s="454">
        <f t="shared" si="47"/>
        <v>1.2</v>
      </c>
      <c r="Q248" s="292">
        <f t="shared" si="56"/>
        <v>2.865947539288845E-05</v>
      </c>
      <c r="R248" s="293">
        <f t="shared" si="53"/>
        <v>3.659355031357013E-05</v>
      </c>
    </row>
    <row r="249" spans="1:18" ht="17.25" customHeight="1">
      <c r="A249" s="17"/>
      <c r="B249" s="25" t="s">
        <v>497</v>
      </c>
      <c r="C249" s="11" t="s">
        <v>498</v>
      </c>
      <c r="D249" s="8"/>
      <c r="E249" s="8">
        <v>60464</v>
      </c>
      <c r="F249" s="8">
        <v>0</v>
      </c>
      <c r="G249" s="8">
        <v>0</v>
      </c>
      <c r="H249" s="8">
        <v>17534</v>
      </c>
      <c r="I249" s="8">
        <v>0</v>
      </c>
      <c r="J249" s="8">
        <v>0</v>
      </c>
      <c r="K249" s="8">
        <v>29695</v>
      </c>
      <c r="L249" s="8">
        <v>29453</v>
      </c>
      <c r="M249" s="8">
        <v>0</v>
      </c>
      <c r="N249" s="24">
        <f t="shared" si="55"/>
        <v>29453</v>
      </c>
      <c r="O249" s="24">
        <v>0</v>
      </c>
      <c r="P249" s="454">
        <f t="shared" si="47"/>
        <v>0.9918504798787675</v>
      </c>
      <c r="Q249" s="292">
        <f t="shared" si="56"/>
        <v>0.0008510431217918225</v>
      </c>
      <c r="R249" s="293">
        <f t="shared" si="53"/>
        <v>0.0008981581978213176</v>
      </c>
    </row>
    <row r="250" spans="1:18" ht="18.75" customHeight="1" hidden="1">
      <c r="A250" s="17"/>
      <c r="B250" s="18"/>
      <c r="C250" s="8" t="s">
        <v>626</v>
      </c>
      <c r="D250" s="8">
        <v>126574</v>
      </c>
      <c r="E250" s="8"/>
      <c r="F250" s="8"/>
      <c r="G250" s="8"/>
      <c r="H250" s="8"/>
      <c r="I250" s="8"/>
      <c r="J250" s="8"/>
      <c r="K250" s="8">
        <v>0</v>
      </c>
      <c r="L250" s="8"/>
      <c r="M250" s="8"/>
      <c r="N250" s="24">
        <f t="shared" si="55"/>
        <v>0</v>
      </c>
      <c r="O250" s="24">
        <v>0</v>
      </c>
      <c r="P250" s="454" t="e">
        <f t="shared" si="47"/>
        <v>#DIV/0!</v>
      </c>
      <c r="Q250" s="292">
        <f t="shared" si="56"/>
        <v>0</v>
      </c>
      <c r="R250" s="293">
        <f t="shared" si="53"/>
        <v>0</v>
      </c>
    </row>
    <row r="251" spans="1:18" ht="24" customHeight="1">
      <c r="A251" s="17"/>
      <c r="B251" s="18" t="s">
        <v>627</v>
      </c>
      <c r="C251" s="249" t="s">
        <v>835</v>
      </c>
      <c r="D251" s="8"/>
      <c r="E251" s="8"/>
      <c r="F251" s="8"/>
      <c r="G251" s="8"/>
      <c r="H251" s="8">
        <v>181417</v>
      </c>
      <c r="I251" s="8">
        <v>0</v>
      </c>
      <c r="J251" s="8">
        <v>0</v>
      </c>
      <c r="K251" s="8">
        <v>222645</v>
      </c>
      <c r="L251" s="8">
        <v>220604</v>
      </c>
      <c r="M251" s="8">
        <v>0</v>
      </c>
      <c r="N251" s="24">
        <f t="shared" si="55"/>
        <v>220604</v>
      </c>
      <c r="O251" s="24">
        <v>0</v>
      </c>
      <c r="P251" s="454">
        <f t="shared" si="47"/>
        <v>0.9908329403310202</v>
      </c>
      <c r="Q251" s="292">
        <f t="shared" si="56"/>
        <v>0.006380888898849649</v>
      </c>
      <c r="R251" s="293">
        <f t="shared" si="53"/>
        <v>0.006727236311145688</v>
      </c>
    </row>
    <row r="252" spans="1:18" ht="18.75" customHeight="1">
      <c r="A252" s="17" t="s">
        <v>834</v>
      </c>
      <c r="B252" s="27"/>
      <c r="C252" s="4" t="s">
        <v>833</v>
      </c>
      <c r="D252" s="7"/>
      <c r="E252" s="7"/>
      <c r="F252" s="7"/>
      <c r="G252" s="7"/>
      <c r="H252" s="7">
        <f aca="true" t="shared" si="57" ref="H252:O252">H253</f>
        <v>65981</v>
      </c>
      <c r="I252" s="7">
        <f t="shared" si="57"/>
        <v>0</v>
      </c>
      <c r="J252" s="7">
        <f t="shared" si="57"/>
        <v>0</v>
      </c>
      <c r="K252" s="7">
        <f t="shared" si="57"/>
        <v>89070</v>
      </c>
      <c r="L252" s="7">
        <f t="shared" si="57"/>
        <v>111982</v>
      </c>
      <c r="M252" s="7">
        <f t="shared" si="57"/>
        <v>0</v>
      </c>
      <c r="N252" s="7">
        <f t="shared" si="57"/>
        <v>111982</v>
      </c>
      <c r="O252" s="7">
        <f t="shared" si="57"/>
        <v>0</v>
      </c>
      <c r="P252" s="454">
        <f t="shared" si="47"/>
        <v>1.2572358818906477</v>
      </c>
      <c r="Q252" s="292">
        <f t="shared" si="56"/>
        <v>0.002552699473244574</v>
      </c>
      <c r="R252" s="293">
        <f t="shared" si="53"/>
        <v>0.003414849126011842</v>
      </c>
    </row>
    <row r="253" spans="1:18" ht="21.75" customHeight="1">
      <c r="A253" s="17"/>
      <c r="B253" s="18" t="s">
        <v>627</v>
      </c>
      <c r="C253" s="249" t="s">
        <v>835</v>
      </c>
      <c r="D253" s="8"/>
      <c r="E253" s="8"/>
      <c r="F253" s="8"/>
      <c r="G253" s="8"/>
      <c r="H253" s="8">
        <v>65981</v>
      </c>
      <c r="I253" s="8">
        <v>0</v>
      </c>
      <c r="J253" s="8">
        <v>0</v>
      </c>
      <c r="K253" s="8">
        <v>89070</v>
      </c>
      <c r="L253" s="8">
        <v>111982</v>
      </c>
      <c r="M253" s="8">
        <v>0</v>
      </c>
      <c r="N253" s="24">
        <f>L253</f>
        <v>111982</v>
      </c>
      <c r="O253" s="24">
        <v>0</v>
      </c>
      <c r="P253" s="454">
        <f t="shared" si="47"/>
        <v>1.2572358818906477</v>
      </c>
      <c r="Q253" s="292">
        <f t="shared" si="56"/>
        <v>0.002552699473244574</v>
      </c>
      <c r="R253" s="293">
        <f t="shared" si="53"/>
        <v>0.003414849126011842</v>
      </c>
    </row>
    <row r="254" spans="1:18" ht="18.75" customHeight="1">
      <c r="A254" s="17" t="s">
        <v>629</v>
      </c>
      <c r="B254" s="27"/>
      <c r="C254" s="4" t="s">
        <v>630</v>
      </c>
      <c r="D254" s="7">
        <f>D255+D256+D257+D259</f>
        <v>276119</v>
      </c>
      <c r="E254" s="7" t="e">
        <f>E255+E256+E257+E258+E259+E260+#REF!+#REF!+E264</f>
        <v>#REF!</v>
      </c>
      <c r="F254" s="7" t="e">
        <f>F255+F256+F257+F258+F259+F260+#REF!+#REF!+F264</f>
        <v>#REF!</v>
      </c>
      <c r="G254" s="7" t="e">
        <f>G255+G256+G257+G258+G259+G260+#REF!+#REF!+G264</f>
        <v>#REF!</v>
      </c>
      <c r="H254" s="7">
        <f>H255+H256+H257+H258+H260+H264+H266+H262</f>
        <v>416271</v>
      </c>
      <c r="I254" s="7">
        <f>I255+I256+I257+I258+I260+I264+I266+I262</f>
        <v>0</v>
      </c>
      <c r="J254" s="7">
        <f>J255+J256+J257+J258+J260+J264+J266+J262</f>
        <v>0</v>
      </c>
      <c r="K254" s="7">
        <f>SUM(K255:K266)</f>
        <v>477070</v>
      </c>
      <c r="L254" s="7">
        <f>L255+L256+L257+L258+L260+L264+L266+L262+L263+L259+L261</f>
        <v>632623</v>
      </c>
      <c r="M254" s="7">
        <f>M255+M256+M257+M258+M260+M264+M266+M262+M263+M259+M261</f>
        <v>0</v>
      </c>
      <c r="N254" s="7">
        <f>N255+N256+N257+N258+N260+N264+N266+N262+N263+N259+N261</f>
        <v>632623</v>
      </c>
      <c r="O254" s="7">
        <f>O255+O256+O257+O258+O260+O264+O266+O262+O263+O259+O261</f>
        <v>0</v>
      </c>
      <c r="P254" s="454">
        <f t="shared" si="47"/>
        <v>1.3260590688997422</v>
      </c>
      <c r="Q254" s="292">
        <f t="shared" si="56"/>
        <v>0.013672575925685292</v>
      </c>
      <c r="R254" s="293">
        <f t="shared" si="53"/>
        <v>0.019291601316684732</v>
      </c>
    </row>
    <row r="255" spans="1:18" ht="24.75" customHeight="1">
      <c r="A255" s="17"/>
      <c r="B255" s="18" t="s">
        <v>475</v>
      </c>
      <c r="C255" s="11" t="s">
        <v>476</v>
      </c>
      <c r="D255" s="8">
        <v>212518</v>
      </c>
      <c r="E255" s="8">
        <v>225071</v>
      </c>
      <c r="F255" s="8">
        <v>24814</v>
      </c>
      <c r="G255" s="8">
        <v>0</v>
      </c>
      <c r="H255" s="8">
        <v>279732</v>
      </c>
      <c r="I255" s="8">
        <v>0</v>
      </c>
      <c r="J255" s="8">
        <v>0</v>
      </c>
      <c r="K255" s="8">
        <v>246899</v>
      </c>
      <c r="L255" s="8">
        <v>283933</v>
      </c>
      <c r="M255" s="8">
        <v>0</v>
      </c>
      <c r="N255" s="24">
        <f>L255</f>
        <v>283933</v>
      </c>
      <c r="O255" s="24">
        <v>0</v>
      </c>
      <c r="P255" s="454">
        <f t="shared" si="47"/>
        <v>1.1499965572967084</v>
      </c>
      <c r="Q255" s="292">
        <f t="shared" si="56"/>
        <v>0.007075995815028765</v>
      </c>
      <c r="R255" s="293">
        <f t="shared" si="53"/>
        <v>0.008658430434319091</v>
      </c>
    </row>
    <row r="256" spans="1:18" ht="17.25" customHeight="1">
      <c r="A256" s="17"/>
      <c r="B256" s="18" t="s">
        <v>479</v>
      </c>
      <c r="C256" s="11" t="s">
        <v>480</v>
      </c>
      <c r="D256" s="8">
        <v>4145</v>
      </c>
      <c r="E256" s="8">
        <v>6923</v>
      </c>
      <c r="F256" s="8">
        <v>0</v>
      </c>
      <c r="G256" s="8">
        <v>0</v>
      </c>
      <c r="H256" s="20">
        <v>10410</v>
      </c>
      <c r="I256" s="20">
        <v>0</v>
      </c>
      <c r="J256" s="20">
        <v>0</v>
      </c>
      <c r="K256" s="8">
        <v>17244</v>
      </c>
      <c r="L256" s="8">
        <v>22984</v>
      </c>
      <c r="M256" s="8">
        <v>0</v>
      </c>
      <c r="N256" s="24">
        <f aca="true" t="shared" si="58" ref="N256:N266">L256</f>
        <v>22984</v>
      </c>
      <c r="O256" s="24">
        <v>0</v>
      </c>
      <c r="P256" s="454">
        <f t="shared" si="47"/>
        <v>1.3328694038506148</v>
      </c>
      <c r="Q256" s="292">
        <f t="shared" si="56"/>
        <v>0.0004942039936749684</v>
      </c>
      <c r="R256" s="293">
        <f t="shared" si="53"/>
        <v>0.0007008884670059133</v>
      </c>
    </row>
    <row r="257" spans="1:18" ht="15.75" customHeight="1">
      <c r="A257" s="17"/>
      <c r="B257" s="25" t="s">
        <v>532</v>
      </c>
      <c r="C257" s="11" t="s">
        <v>509</v>
      </c>
      <c r="D257" s="8">
        <v>44040</v>
      </c>
      <c r="E257" s="8">
        <v>40253</v>
      </c>
      <c r="F257" s="8">
        <v>4948</v>
      </c>
      <c r="G257" s="8">
        <v>0</v>
      </c>
      <c r="H257" s="8">
        <v>51300</v>
      </c>
      <c r="I257" s="8">
        <v>0</v>
      </c>
      <c r="J257" s="8">
        <v>0</v>
      </c>
      <c r="K257" s="8">
        <v>38600</v>
      </c>
      <c r="L257" s="8">
        <v>55214</v>
      </c>
      <c r="M257" s="8">
        <v>0</v>
      </c>
      <c r="N257" s="24">
        <f t="shared" si="58"/>
        <v>55214</v>
      </c>
      <c r="O257" s="24">
        <v>0</v>
      </c>
      <c r="P257" s="454">
        <f t="shared" si="47"/>
        <v>1.4304145077720207</v>
      </c>
      <c r="Q257" s="292">
        <f t="shared" si="56"/>
        <v>0.0011062557501654942</v>
      </c>
      <c r="R257" s="293">
        <f t="shared" si="53"/>
        <v>0.0016837302391778843</v>
      </c>
    </row>
    <row r="258" spans="1:18" ht="14.25" customHeight="1">
      <c r="A258" s="17"/>
      <c r="B258" s="25" t="s">
        <v>483</v>
      </c>
      <c r="C258" s="11" t="s">
        <v>484</v>
      </c>
      <c r="D258" s="8"/>
      <c r="E258" s="8">
        <v>5538</v>
      </c>
      <c r="F258" s="8">
        <v>680</v>
      </c>
      <c r="G258" s="8">
        <v>0</v>
      </c>
      <c r="H258" s="8">
        <v>7030</v>
      </c>
      <c r="I258" s="8">
        <v>0</v>
      </c>
      <c r="J258" s="8">
        <v>0</v>
      </c>
      <c r="K258" s="8">
        <v>6500</v>
      </c>
      <c r="L258" s="8">
        <v>7520</v>
      </c>
      <c r="M258" s="8">
        <v>0</v>
      </c>
      <c r="N258" s="24">
        <f t="shared" si="58"/>
        <v>7520</v>
      </c>
      <c r="O258" s="24">
        <v>0</v>
      </c>
      <c r="P258" s="454">
        <f t="shared" si="47"/>
        <v>1.156923076923077</v>
      </c>
      <c r="Q258" s="292">
        <f t="shared" si="56"/>
        <v>0.0001862865900537749</v>
      </c>
      <c r="R258" s="293">
        <f t="shared" si="53"/>
        <v>0.0002293195819650395</v>
      </c>
    </row>
    <row r="259" spans="1:18" ht="13.5" customHeight="1" hidden="1">
      <c r="A259" s="17"/>
      <c r="B259" s="18" t="s">
        <v>461</v>
      </c>
      <c r="C259" s="11" t="s">
        <v>160</v>
      </c>
      <c r="D259" s="8">
        <v>15416</v>
      </c>
      <c r="E259" s="8">
        <v>353</v>
      </c>
      <c r="F259" s="8">
        <v>0</v>
      </c>
      <c r="G259" s="8">
        <v>0</v>
      </c>
      <c r="H259" s="8"/>
      <c r="I259" s="8"/>
      <c r="J259" s="8"/>
      <c r="K259" s="8">
        <v>0</v>
      </c>
      <c r="L259" s="8">
        <v>0</v>
      </c>
      <c r="M259" s="8">
        <v>0</v>
      </c>
      <c r="N259" s="24">
        <f t="shared" si="58"/>
        <v>0</v>
      </c>
      <c r="O259" s="24">
        <v>0</v>
      </c>
      <c r="P259" s="454" t="e">
        <f t="shared" si="47"/>
        <v>#DIV/0!</v>
      </c>
      <c r="Q259" s="292">
        <f t="shared" si="56"/>
        <v>0</v>
      </c>
      <c r="R259" s="293">
        <f t="shared" si="53"/>
        <v>0</v>
      </c>
    </row>
    <row r="260" spans="1:18" ht="14.25" customHeight="1">
      <c r="A260" s="17"/>
      <c r="B260" s="18" t="s">
        <v>485</v>
      </c>
      <c r="C260" s="8" t="s">
        <v>631</v>
      </c>
      <c r="D260" s="8"/>
      <c r="E260" s="8">
        <v>1700</v>
      </c>
      <c r="F260" s="8">
        <v>0</v>
      </c>
      <c r="G260" s="8">
        <v>0</v>
      </c>
      <c r="H260" s="8">
        <v>300</v>
      </c>
      <c r="I260" s="8">
        <v>0</v>
      </c>
      <c r="J260" s="8">
        <v>0</v>
      </c>
      <c r="K260" s="8">
        <v>3100</v>
      </c>
      <c r="L260" s="8">
        <v>3255</v>
      </c>
      <c r="M260" s="8">
        <v>0</v>
      </c>
      <c r="N260" s="24">
        <f t="shared" si="58"/>
        <v>3255</v>
      </c>
      <c r="O260" s="24">
        <v>0</v>
      </c>
      <c r="P260" s="454">
        <f t="shared" si="47"/>
        <v>1.05</v>
      </c>
      <c r="Q260" s="292">
        <f t="shared" si="56"/>
        <v>8.88443737179542E-05</v>
      </c>
      <c r="R260" s="293">
        <f t="shared" si="53"/>
        <v>9.926000522555898E-05</v>
      </c>
    </row>
    <row r="261" spans="1:18" ht="14.25" customHeight="1">
      <c r="A261" s="17"/>
      <c r="B261" s="18" t="s">
        <v>487</v>
      </c>
      <c r="C261" s="8" t="s">
        <v>584</v>
      </c>
      <c r="D261" s="8"/>
      <c r="E261" s="8"/>
      <c r="F261" s="8"/>
      <c r="G261" s="8"/>
      <c r="H261" s="8"/>
      <c r="I261" s="8"/>
      <c r="J261" s="8"/>
      <c r="K261" s="8">
        <v>2000</v>
      </c>
      <c r="L261" s="8">
        <v>2100</v>
      </c>
      <c r="M261" s="8">
        <v>0</v>
      </c>
      <c r="N261" s="24">
        <f t="shared" si="58"/>
        <v>2100</v>
      </c>
      <c r="O261" s="24">
        <v>0</v>
      </c>
      <c r="P261" s="454">
        <f t="shared" si="47"/>
        <v>1.05</v>
      </c>
      <c r="Q261" s="292">
        <f t="shared" si="56"/>
        <v>5.73189507857769E-05</v>
      </c>
      <c r="R261" s="293">
        <f t="shared" si="53"/>
        <v>6.403871304874773E-05</v>
      </c>
    </row>
    <row r="262" spans="1:18" ht="14.25" customHeight="1">
      <c r="A262" s="17"/>
      <c r="B262" s="18" t="s">
        <v>491</v>
      </c>
      <c r="C262" s="8" t="s">
        <v>586</v>
      </c>
      <c r="D262" s="8"/>
      <c r="E262" s="8"/>
      <c r="F262" s="8"/>
      <c r="G262" s="8"/>
      <c r="H262" s="8">
        <v>1700</v>
      </c>
      <c r="I262" s="8">
        <v>0</v>
      </c>
      <c r="J262" s="8">
        <v>0</v>
      </c>
      <c r="K262" s="8">
        <v>3500</v>
      </c>
      <c r="L262" s="8">
        <v>3675</v>
      </c>
      <c r="M262" s="8">
        <v>0</v>
      </c>
      <c r="N262" s="24">
        <f t="shared" si="58"/>
        <v>3675</v>
      </c>
      <c r="O262" s="24">
        <v>0</v>
      </c>
      <c r="P262" s="454">
        <f t="shared" si="47"/>
        <v>1.05</v>
      </c>
      <c r="Q262" s="292">
        <f t="shared" si="56"/>
        <v>0.00010030816387510957</v>
      </c>
      <c r="R262" s="293">
        <f t="shared" si="53"/>
        <v>0.00011206774783530853</v>
      </c>
    </row>
    <row r="263" spans="1:18" ht="14.25" customHeight="1" hidden="1">
      <c r="A263" s="17"/>
      <c r="B263" s="18" t="s">
        <v>493</v>
      </c>
      <c r="C263" s="8" t="s">
        <v>494</v>
      </c>
      <c r="D263" s="8"/>
      <c r="E263" s="8"/>
      <c r="F263" s="8"/>
      <c r="G263" s="8"/>
      <c r="H263" s="8"/>
      <c r="I263" s="8"/>
      <c r="J263" s="8"/>
      <c r="K263" s="8">
        <v>0</v>
      </c>
      <c r="L263" s="8">
        <v>0</v>
      </c>
      <c r="M263" s="8">
        <v>0</v>
      </c>
      <c r="N263" s="24">
        <f t="shared" si="58"/>
        <v>0</v>
      </c>
      <c r="O263" s="24">
        <v>0</v>
      </c>
      <c r="P263" s="454" t="e">
        <f t="shared" si="47"/>
        <v>#DIV/0!</v>
      </c>
      <c r="Q263" s="292">
        <f t="shared" si="56"/>
        <v>0</v>
      </c>
      <c r="R263" s="293">
        <f t="shared" si="53"/>
        <v>0</v>
      </c>
    </row>
    <row r="264" spans="1:18" ht="18.75" customHeight="1">
      <c r="A264" s="17"/>
      <c r="B264" s="18" t="s">
        <v>497</v>
      </c>
      <c r="C264" s="8" t="s">
        <v>498</v>
      </c>
      <c r="D264" s="8"/>
      <c r="E264" s="8">
        <v>15689</v>
      </c>
      <c r="F264" s="8">
        <v>0</v>
      </c>
      <c r="G264" s="8">
        <v>0</v>
      </c>
      <c r="H264" s="20">
        <v>14740</v>
      </c>
      <c r="I264" s="20">
        <v>0</v>
      </c>
      <c r="J264" s="20">
        <v>0</v>
      </c>
      <c r="K264" s="8">
        <v>12924</v>
      </c>
      <c r="L264" s="8">
        <v>14862</v>
      </c>
      <c r="M264" s="8">
        <v>0</v>
      </c>
      <c r="N264" s="24">
        <f t="shared" si="58"/>
        <v>14862</v>
      </c>
      <c r="O264" s="24">
        <v>0</v>
      </c>
      <c r="P264" s="454">
        <f t="shared" si="47"/>
        <v>1.1499535747446612</v>
      </c>
      <c r="Q264" s="292">
        <f t="shared" si="56"/>
        <v>0.00037039505997769033</v>
      </c>
      <c r="R264" s="293">
        <f t="shared" si="53"/>
        <v>0.0004532111206335661</v>
      </c>
    </row>
    <row r="265" spans="1:18" ht="18.75" customHeight="1">
      <c r="A265" s="17"/>
      <c r="B265" s="18" t="s">
        <v>517</v>
      </c>
      <c r="C265" s="8" t="s">
        <v>376</v>
      </c>
      <c r="D265" s="8"/>
      <c r="E265" s="8"/>
      <c r="F265" s="8"/>
      <c r="G265" s="8"/>
      <c r="H265" s="20"/>
      <c r="I265" s="20"/>
      <c r="J265" s="20"/>
      <c r="K265" s="8">
        <v>0</v>
      </c>
      <c r="L265" s="8">
        <v>0</v>
      </c>
      <c r="M265" s="8">
        <v>0</v>
      </c>
      <c r="N265" s="24">
        <v>0</v>
      </c>
      <c r="O265" s="24">
        <v>0</v>
      </c>
      <c r="P265" s="454">
        <v>0</v>
      </c>
      <c r="Q265" s="292">
        <f t="shared" si="56"/>
        <v>0</v>
      </c>
      <c r="R265" s="293">
        <f t="shared" si="53"/>
        <v>0</v>
      </c>
    </row>
    <row r="266" spans="1:18" ht="28.5" customHeight="1">
      <c r="A266" s="17"/>
      <c r="B266" s="18" t="s">
        <v>627</v>
      </c>
      <c r="C266" s="249" t="s">
        <v>408</v>
      </c>
      <c r="D266" s="8"/>
      <c r="E266" s="8"/>
      <c r="F266" s="8"/>
      <c r="G266" s="8"/>
      <c r="H266" s="8">
        <v>51059</v>
      </c>
      <c r="I266" s="8">
        <v>0</v>
      </c>
      <c r="J266" s="8">
        <v>0</v>
      </c>
      <c r="K266" s="8">
        <v>146303</v>
      </c>
      <c r="L266" s="8">
        <v>239080</v>
      </c>
      <c r="M266" s="8">
        <v>0</v>
      </c>
      <c r="N266" s="24">
        <f t="shared" si="58"/>
        <v>239080</v>
      </c>
      <c r="O266" s="24">
        <v>0</v>
      </c>
      <c r="P266" s="454">
        <f t="shared" si="47"/>
        <v>1.634142840543256</v>
      </c>
      <c r="Q266" s="292">
        <f t="shared" si="56"/>
        <v>0.004192967228405758</v>
      </c>
      <c r="R266" s="293">
        <f t="shared" si="53"/>
        <v>0.0072906550074736225</v>
      </c>
    </row>
    <row r="267" spans="1:18" ht="12.75" customHeight="1">
      <c r="A267" s="17" t="s">
        <v>632</v>
      </c>
      <c r="B267" s="18"/>
      <c r="C267" s="7" t="s">
        <v>633</v>
      </c>
      <c r="D267" s="7" t="e">
        <f>D269+D270+D271+D273+D275+#REF!</f>
        <v>#REF!</v>
      </c>
      <c r="E267" s="7" t="e">
        <f>E269+E270+E271+E272+E273+E274+E275+E278+E279+E280+E281+E283+E284+E285+E287+#REF!</f>
        <v>#REF!</v>
      </c>
      <c r="F267" s="7" t="e">
        <f>F269+F270+F271+F272+F273+F274+F275+F278+F279+F280+F281+F283+F284+F285+F287+#REF!</f>
        <v>#REF!</v>
      </c>
      <c r="G267" s="7" t="e">
        <f>G269+G270+G271+G272+G273+G274+G275+G278+G279+G280+G281+G283+G284+G285+G287+#REF!</f>
        <v>#REF!</v>
      </c>
      <c r="H267" s="7">
        <f>H269+H270+H271+H272+H268+H274+H275+H277+H278+H279+H280+H281+H283+H284+H285+H287+H286</f>
        <v>2165973</v>
      </c>
      <c r="I267" s="7">
        <f>I269+I270+I271+I272+I268+I274+I275+I277+I278+I279+I280+I281+I283+I284+I285+I287+I286</f>
        <v>0</v>
      </c>
      <c r="J267" s="7">
        <f>J269+J270+J271+J272+J268+J274+J275+J277+J278+J279+J280+J281+J283+J284+J285+J287+J286</f>
        <v>0</v>
      </c>
      <c r="K267" s="7">
        <f>SUM(K268:K287)</f>
        <v>2231219</v>
      </c>
      <c r="L267" s="7">
        <f>SUM(L268:L287)</f>
        <v>2150273</v>
      </c>
      <c r="M267" s="7">
        <f>SUM(M268:M287)</f>
        <v>0</v>
      </c>
      <c r="N267" s="7">
        <f>SUM(N268:N287)</f>
        <v>2150273</v>
      </c>
      <c r="O267" s="7">
        <f>SUM(O268:O287)</f>
        <v>0</v>
      </c>
      <c r="P267" s="454">
        <f>L267/K267</f>
        <v>0.9637211766303532</v>
      </c>
      <c r="Q267" s="292">
        <f t="shared" si="56"/>
        <v>0.06394556602664517</v>
      </c>
      <c r="R267" s="293">
        <f t="shared" si="53"/>
        <v>0.06557176934450949</v>
      </c>
    </row>
    <row r="268" spans="1:18" s="434" customFormat="1" ht="13.5" customHeight="1">
      <c r="A268" s="23"/>
      <c r="B268" s="18" t="s">
        <v>461</v>
      </c>
      <c r="C268" s="432" t="s">
        <v>634</v>
      </c>
      <c r="D268" s="432"/>
      <c r="E268" s="432"/>
      <c r="F268" s="432"/>
      <c r="G268" s="432"/>
      <c r="H268" s="432">
        <v>14208</v>
      </c>
      <c r="I268" s="432">
        <v>0</v>
      </c>
      <c r="J268" s="432">
        <v>0</v>
      </c>
      <c r="K268" s="432">
        <v>26337</v>
      </c>
      <c r="L268" s="432">
        <v>0</v>
      </c>
      <c r="M268" s="432">
        <v>0</v>
      </c>
      <c r="N268" s="24">
        <f>L268</f>
        <v>0</v>
      </c>
      <c r="O268" s="24">
        <v>0</v>
      </c>
      <c r="P268" s="454">
        <f aca="true" t="shared" si="59" ref="P268:P330">L268/K268</f>
        <v>0</v>
      </c>
      <c r="Q268" s="433">
        <f t="shared" si="56"/>
        <v>0.0007548046034225031</v>
      </c>
      <c r="R268" s="293">
        <f t="shared" si="53"/>
        <v>0</v>
      </c>
    </row>
    <row r="269" spans="1:18" ht="23.25" customHeight="1">
      <c r="A269" s="23"/>
      <c r="B269" s="18" t="s">
        <v>475</v>
      </c>
      <c r="C269" s="11" t="s">
        <v>476</v>
      </c>
      <c r="D269" s="8">
        <v>1980166</v>
      </c>
      <c r="E269" s="8">
        <v>1975260</v>
      </c>
      <c r="F269" s="8">
        <v>27891</v>
      </c>
      <c r="G269" s="8">
        <v>26283</v>
      </c>
      <c r="H269" s="8">
        <v>1137604</v>
      </c>
      <c r="I269" s="8">
        <v>0</v>
      </c>
      <c r="J269" s="8">
        <v>0</v>
      </c>
      <c r="K269" s="8">
        <v>1281282</v>
      </c>
      <c r="L269" s="8">
        <v>1304557</v>
      </c>
      <c r="M269" s="8">
        <v>0</v>
      </c>
      <c r="N269" s="24">
        <f>L269</f>
        <v>1304557</v>
      </c>
      <c r="O269" s="24">
        <v>0</v>
      </c>
      <c r="P269" s="454">
        <f t="shared" si="59"/>
        <v>1.018165399966596</v>
      </c>
      <c r="Q269" s="292">
        <f t="shared" si="56"/>
        <v>0.0367208699503509</v>
      </c>
      <c r="R269" s="293">
        <f t="shared" si="53"/>
        <v>0.03978197684701676</v>
      </c>
    </row>
    <row r="270" spans="1:18" ht="14.25" customHeight="1">
      <c r="A270" s="23"/>
      <c r="B270" s="18" t="s">
        <v>479</v>
      </c>
      <c r="C270" s="11" t="s">
        <v>480</v>
      </c>
      <c r="D270" s="8">
        <v>123848</v>
      </c>
      <c r="E270" s="8">
        <v>159042</v>
      </c>
      <c r="F270" s="8">
        <v>0</v>
      </c>
      <c r="G270" s="8">
        <v>0</v>
      </c>
      <c r="H270" s="8">
        <v>76054</v>
      </c>
      <c r="I270" s="8">
        <v>0</v>
      </c>
      <c r="J270" s="8">
        <v>0</v>
      </c>
      <c r="K270" s="8">
        <v>93140</v>
      </c>
      <c r="L270" s="8">
        <v>114653</v>
      </c>
      <c r="M270" s="8">
        <v>0</v>
      </c>
      <c r="N270" s="24">
        <f aca="true" t="shared" si="60" ref="N270:N290">L270</f>
        <v>114653</v>
      </c>
      <c r="O270" s="24">
        <v>0</v>
      </c>
      <c r="P270" s="454">
        <f t="shared" si="59"/>
        <v>1.2309748765299549</v>
      </c>
      <c r="Q270" s="292">
        <f t="shared" si="56"/>
        <v>0.0026693435380936302</v>
      </c>
      <c r="R270" s="293">
        <f t="shared" si="53"/>
        <v>0.003496300270084797</v>
      </c>
    </row>
    <row r="271" spans="1:18" ht="15" customHeight="1">
      <c r="A271" s="23"/>
      <c r="B271" s="25" t="s">
        <v>532</v>
      </c>
      <c r="C271" s="11" t="s">
        <v>554</v>
      </c>
      <c r="D271" s="8">
        <v>414136</v>
      </c>
      <c r="E271" s="8">
        <v>370552</v>
      </c>
      <c r="F271" s="8">
        <v>2840</v>
      </c>
      <c r="G271" s="8">
        <v>2000</v>
      </c>
      <c r="H271" s="8">
        <v>214800</v>
      </c>
      <c r="I271" s="8">
        <v>0</v>
      </c>
      <c r="J271" s="8">
        <v>0</v>
      </c>
      <c r="K271" s="8">
        <v>237206</v>
      </c>
      <c r="L271" s="8">
        <v>222745</v>
      </c>
      <c r="M271" s="8">
        <v>0</v>
      </c>
      <c r="N271" s="24">
        <f t="shared" si="60"/>
        <v>222745</v>
      </c>
      <c r="O271" s="24">
        <v>0</v>
      </c>
      <c r="P271" s="454">
        <f t="shared" si="59"/>
        <v>0.9390361120713642</v>
      </c>
      <c r="Q271" s="292">
        <f t="shared" si="56"/>
        <v>0.0067981995200454975</v>
      </c>
      <c r="R271" s="293">
        <f t="shared" si="53"/>
        <v>0.006792525303830149</v>
      </c>
    </row>
    <row r="272" spans="1:18" ht="16.5" customHeight="1">
      <c r="A272" s="23"/>
      <c r="B272" s="25" t="s">
        <v>483</v>
      </c>
      <c r="C272" s="11" t="s">
        <v>484</v>
      </c>
      <c r="D272" s="8"/>
      <c r="E272" s="8">
        <v>50795</v>
      </c>
      <c r="F272" s="8">
        <v>390</v>
      </c>
      <c r="G272" s="8">
        <v>165</v>
      </c>
      <c r="H272" s="8">
        <v>29560</v>
      </c>
      <c r="I272" s="8">
        <v>0</v>
      </c>
      <c r="J272" s="8">
        <v>0</v>
      </c>
      <c r="K272" s="8">
        <v>32075</v>
      </c>
      <c r="L272" s="8">
        <v>30143</v>
      </c>
      <c r="M272" s="8">
        <v>0</v>
      </c>
      <c r="N272" s="24">
        <f t="shared" si="60"/>
        <v>30143</v>
      </c>
      <c r="O272" s="24">
        <v>0</v>
      </c>
      <c r="P272" s="454">
        <f t="shared" si="59"/>
        <v>0.9397661730319563</v>
      </c>
      <c r="Q272" s="292">
        <f t="shared" si="56"/>
        <v>0.000919252673226897</v>
      </c>
      <c r="R272" s="293">
        <f t="shared" si="53"/>
        <v>0.0009191994892516204</v>
      </c>
    </row>
    <row r="273" spans="1:18" ht="13.5" customHeight="1" hidden="1">
      <c r="A273" s="23"/>
      <c r="B273" s="18"/>
      <c r="C273" s="8" t="s">
        <v>523</v>
      </c>
      <c r="D273" s="8">
        <v>403703</v>
      </c>
      <c r="E273" s="8">
        <v>14845</v>
      </c>
      <c r="F273" s="8">
        <v>23380</v>
      </c>
      <c r="G273" s="8">
        <v>0</v>
      </c>
      <c r="H273" s="8"/>
      <c r="I273" s="8">
        <v>0</v>
      </c>
      <c r="J273" s="8">
        <v>0</v>
      </c>
      <c r="K273" s="8">
        <v>0</v>
      </c>
      <c r="L273" s="8"/>
      <c r="M273" s="8">
        <v>0</v>
      </c>
      <c r="N273" s="24">
        <f t="shared" si="60"/>
        <v>0</v>
      </c>
      <c r="O273" s="24">
        <v>0</v>
      </c>
      <c r="P273" s="454" t="e">
        <f t="shared" si="59"/>
        <v>#DIV/0!</v>
      </c>
      <c r="Q273" s="292">
        <f t="shared" si="56"/>
        <v>0</v>
      </c>
      <c r="R273" s="293">
        <f t="shared" si="53"/>
        <v>0</v>
      </c>
    </row>
    <row r="274" spans="1:18" ht="15.75" customHeight="1">
      <c r="A274" s="23"/>
      <c r="B274" s="18" t="s">
        <v>635</v>
      </c>
      <c r="C274" s="8" t="s">
        <v>636</v>
      </c>
      <c r="D274" s="8"/>
      <c r="E274" s="8">
        <v>8110</v>
      </c>
      <c r="F274" s="8">
        <v>0</v>
      </c>
      <c r="G274" s="8">
        <v>0</v>
      </c>
      <c r="H274" s="8">
        <v>300</v>
      </c>
      <c r="I274" s="8">
        <v>0</v>
      </c>
      <c r="J274" s="8">
        <v>0</v>
      </c>
      <c r="K274" s="8">
        <v>5621</v>
      </c>
      <c r="L274" s="8">
        <v>5700</v>
      </c>
      <c r="M274" s="8">
        <v>0</v>
      </c>
      <c r="N274" s="24">
        <f t="shared" si="60"/>
        <v>5700</v>
      </c>
      <c r="O274" s="24">
        <v>0</v>
      </c>
      <c r="P274" s="454">
        <f t="shared" si="59"/>
        <v>1.014054438711973</v>
      </c>
      <c r="Q274" s="292">
        <f t="shared" si="56"/>
        <v>0.00016109491118342597</v>
      </c>
      <c r="R274" s="293">
        <f t="shared" si="53"/>
        <v>0.00017381936398945812</v>
      </c>
    </row>
    <row r="275" spans="1:18" ht="15" customHeight="1">
      <c r="A275" s="23"/>
      <c r="B275" s="33">
        <v>4210</v>
      </c>
      <c r="C275" s="8" t="s">
        <v>512</v>
      </c>
      <c r="D275" s="8" t="e">
        <f>D278+#REF!</f>
        <v>#REF!</v>
      </c>
      <c r="E275" s="20">
        <v>110063</v>
      </c>
      <c r="F275" s="20">
        <v>262</v>
      </c>
      <c r="G275" s="20">
        <v>0</v>
      </c>
      <c r="H275" s="8">
        <v>94500</v>
      </c>
      <c r="I275" s="8">
        <v>0</v>
      </c>
      <c r="J275" s="8">
        <v>0</v>
      </c>
      <c r="K275" s="8">
        <v>114587</v>
      </c>
      <c r="L275" s="8">
        <v>90000</v>
      </c>
      <c r="M275" s="8">
        <v>0</v>
      </c>
      <c r="N275" s="24">
        <f t="shared" si="60"/>
        <v>90000</v>
      </c>
      <c r="O275" s="24">
        <v>0</v>
      </c>
      <c r="P275" s="454">
        <f t="shared" si="59"/>
        <v>0.7854294117133707</v>
      </c>
      <c r="Q275" s="292">
        <f t="shared" si="56"/>
        <v>0.0032840033068449086</v>
      </c>
      <c r="R275" s="293">
        <f t="shared" si="53"/>
        <v>0.00274451627351776</v>
      </c>
    </row>
    <row r="276" spans="1:18" ht="15" customHeight="1">
      <c r="A276" s="23"/>
      <c r="B276" s="33">
        <v>4170</v>
      </c>
      <c r="C276" s="8" t="s">
        <v>974</v>
      </c>
      <c r="D276" s="8"/>
      <c r="E276" s="20"/>
      <c r="F276" s="20"/>
      <c r="G276" s="20"/>
      <c r="H276" s="8"/>
      <c r="I276" s="8"/>
      <c r="J276" s="8"/>
      <c r="K276" s="8">
        <v>1000</v>
      </c>
      <c r="L276" s="8">
        <v>1000</v>
      </c>
      <c r="M276" s="8"/>
      <c r="N276" s="24">
        <f t="shared" si="60"/>
        <v>1000</v>
      </c>
      <c r="O276" s="24"/>
      <c r="P276" s="454">
        <f t="shared" si="59"/>
        <v>1</v>
      </c>
      <c r="Q276" s="292">
        <f t="shared" si="56"/>
        <v>2.865947539288845E-05</v>
      </c>
      <c r="R276" s="293">
        <f t="shared" si="53"/>
        <v>3.0494625261308444E-05</v>
      </c>
    </row>
    <row r="277" spans="1:18" ht="15" customHeight="1">
      <c r="A277" s="23"/>
      <c r="B277" s="33">
        <v>4240</v>
      </c>
      <c r="C277" s="8" t="s">
        <v>625</v>
      </c>
      <c r="D277" s="8"/>
      <c r="E277" s="20"/>
      <c r="F277" s="20"/>
      <c r="G277" s="20"/>
      <c r="H277" s="8">
        <v>3000</v>
      </c>
      <c r="I277" s="8">
        <v>0</v>
      </c>
      <c r="J277" s="8">
        <v>0</v>
      </c>
      <c r="K277" s="8">
        <v>1798</v>
      </c>
      <c r="L277" s="8">
        <v>1850</v>
      </c>
      <c r="M277" s="8">
        <v>0</v>
      </c>
      <c r="N277" s="24">
        <f t="shared" si="60"/>
        <v>1850</v>
      </c>
      <c r="O277" s="24">
        <v>0</v>
      </c>
      <c r="P277" s="454">
        <f t="shared" si="59"/>
        <v>1.028921023359288</v>
      </c>
      <c r="Q277" s="292">
        <f aca="true" t="shared" si="61" ref="Q277:Q305">K277/$K$662</f>
        <v>5.152973675641343E-05</v>
      </c>
      <c r="R277" s="293">
        <f aca="true" t="shared" si="62" ref="R277:R305">L277/$L$662</f>
        <v>5.641505673342062E-05</v>
      </c>
    </row>
    <row r="278" spans="1:18" ht="15" customHeight="1" hidden="1">
      <c r="A278" s="23"/>
      <c r="B278" s="18" t="s">
        <v>284</v>
      </c>
      <c r="C278" s="8" t="s">
        <v>285</v>
      </c>
      <c r="D278" s="8">
        <v>263344</v>
      </c>
      <c r="E278" s="8">
        <v>4750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/>
      <c r="M278" s="8">
        <v>0</v>
      </c>
      <c r="N278" s="24">
        <f t="shared" si="60"/>
        <v>0</v>
      </c>
      <c r="O278" s="24">
        <v>0</v>
      </c>
      <c r="P278" s="454" t="e">
        <f t="shared" si="59"/>
        <v>#DIV/0!</v>
      </c>
      <c r="Q278" s="292">
        <f t="shared" si="61"/>
        <v>0</v>
      </c>
      <c r="R278" s="293">
        <f t="shared" si="62"/>
        <v>0</v>
      </c>
    </row>
    <row r="279" spans="1:18" ht="15.75" customHeight="1">
      <c r="A279" s="23"/>
      <c r="B279" s="18" t="s">
        <v>487</v>
      </c>
      <c r="C279" s="8" t="s">
        <v>584</v>
      </c>
      <c r="D279" s="8"/>
      <c r="E279" s="8">
        <v>137000</v>
      </c>
      <c r="F279" s="8">
        <v>8000</v>
      </c>
      <c r="G279" s="8">
        <v>0</v>
      </c>
      <c r="H279" s="8">
        <v>38000</v>
      </c>
      <c r="I279" s="8">
        <v>0</v>
      </c>
      <c r="J279" s="8">
        <v>0</v>
      </c>
      <c r="K279" s="8">
        <v>32000</v>
      </c>
      <c r="L279" s="8">
        <v>31800</v>
      </c>
      <c r="M279" s="8">
        <v>0</v>
      </c>
      <c r="N279" s="24">
        <f t="shared" si="60"/>
        <v>31800</v>
      </c>
      <c r="O279" s="24">
        <v>0</v>
      </c>
      <c r="P279" s="454">
        <f t="shared" si="59"/>
        <v>0.99375</v>
      </c>
      <c r="Q279" s="292">
        <f t="shared" si="61"/>
        <v>0.0009171032125724304</v>
      </c>
      <c r="R279" s="293">
        <f t="shared" si="62"/>
        <v>0.0009697290833096085</v>
      </c>
    </row>
    <row r="280" spans="1:18" ht="18" customHeight="1">
      <c r="A280" s="23"/>
      <c r="B280" s="18" t="s">
        <v>489</v>
      </c>
      <c r="C280" s="8" t="s">
        <v>585</v>
      </c>
      <c r="D280" s="8"/>
      <c r="E280" s="8">
        <v>24000</v>
      </c>
      <c r="F280" s="8">
        <v>7055</v>
      </c>
      <c r="G280" s="8">
        <v>894</v>
      </c>
      <c r="H280" s="20">
        <v>186783</v>
      </c>
      <c r="I280" s="8">
        <v>0</v>
      </c>
      <c r="J280" s="8">
        <v>0</v>
      </c>
      <c r="K280" s="8">
        <v>70000</v>
      </c>
      <c r="L280" s="8">
        <v>0</v>
      </c>
      <c r="M280" s="8">
        <v>0</v>
      </c>
      <c r="N280" s="24">
        <f t="shared" si="60"/>
        <v>0</v>
      </c>
      <c r="O280" s="24">
        <v>0</v>
      </c>
      <c r="P280" s="454">
        <f t="shared" si="59"/>
        <v>0</v>
      </c>
      <c r="Q280" s="292">
        <f t="shared" si="61"/>
        <v>0.0020061632775021914</v>
      </c>
      <c r="R280" s="293">
        <f t="shared" si="62"/>
        <v>0</v>
      </c>
    </row>
    <row r="281" spans="1:18" ht="16.5" customHeight="1">
      <c r="A281" s="23"/>
      <c r="B281" s="18" t="s">
        <v>491</v>
      </c>
      <c r="C281" s="8" t="s">
        <v>492</v>
      </c>
      <c r="D281" s="8"/>
      <c r="E281" s="8">
        <v>58100</v>
      </c>
      <c r="F281" s="8">
        <v>0</v>
      </c>
      <c r="G281" s="8">
        <v>4500</v>
      </c>
      <c r="H281" s="8">
        <v>30000</v>
      </c>
      <c r="I281" s="8">
        <v>0</v>
      </c>
      <c r="J281" s="8">
        <v>0</v>
      </c>
      <c r="K281" s="8">
        <v>29900</v>
      </c>
      <c r="L281" s="8">
        <v>30588</v>
      </c>
      <c r="M281" s="8">
        <v>0</v>
      </c>
      <c r="N281" s="24">
        <f t="shared" si="60"/>
        <v>30588</v>
      </c>
      <c r="O281" s="24">
        <v>0</v>
      </c>
      <c r="P281" s="454">
        <f t="shared" si="59"/>
        <v>1.023010033444816</v>
      </c>
      <c r="Q281" s="292">
        <f t="shared" si="61"/>
        <v>0.0008569183142473646</v>
      </c>
      <c r="R281" s="293">
        <f t="shared" si="62"/>
        <v>0.0009327695974929027</v>
      </c>
    </row>
    <row r="282" spans="1:18" ht="16.5" customHeight="1">
      <c r="A282" s="23"/>
      <c r="B282" s="18" t="s">
        <v>258</v>
      </c>
      <c r="C282" s="8" t="s">
        <v>259</v>
      </c>
      <c r="D282" s="8"/>
      <c r="E282" s="8"/>
      <c r="F282" s="8"/>
      <c r="G282" s="8"/>
      <c r="H282" s="8"/>
      <c r="I282" s="8"/>
      <c r="J282" s="8"/>
      <c r="K282" s="8">
        <v>4000</v>
      </c>
      <c r="L282" s="8">
        <v>4200</v>
      </c>
      <c r="M282" s="8"/>
      <c r="N282" s="24">
        <f>L282</f>
        <v>4200</v>
      </c>
      <c r="O282" s="24"/>
      <c r="P282" s="454">
        <f t="shared" si="59"/>
        <v>1.05</v>
      </c>
      <c r="Q282" s="292">
        <f>K282/$K$662</f>
        <v>0.0001146379015715538</v>
      </c>
      <c r="R282" s="293">
        <f>L282/$L$662</f>
        <v>0.00012807742609749546</v>
      </c>
    </row>
    <row r="283" spans="1:18" ht="17.25" customHeight="1">
      <c r="A283" s="23"/>
      <c r="B283" s="18" t="s">
        <v>493</v>
      </c>
      <c r="C283" s="8" t="s">
        <v>494</v>
      </c>
      <c r="D283" s="8"/>
      <c r="E283" s="8">
        <v>7500</v>
      </c>
      <c r="F283" s="8">
        <v>1200</v>
      </c>
      <c r="G283" s="8">
        <v>0</v>
      </c>
      <c r="H283" s="8">
        <v>3500</v>
      </c>
      <c r="I283" s="8">
        <v>0</v>
      </c>
      <c r="J283" s="8">
        <v>0</v>
      </c>
      <c r="K283" s="8">
        <v>3856</v>
      </c>
      <c r="L283" s="8">
        <v>3900</v>
      </c>
      <c r="M283" s="8">
        <v>0</v>
      </c>
      <c r="N283" s="24">
        <f t="shared" si="60"/>
        <v>3900</v>
      </c>
      <c r="O283" s="24">
        <v>0</v>
      </c>
      <c r="P283" s="454">
        <f t="shared" si="59"/>
        <v>1.0114107883817427</v>
      </c>
      <c r="Q283" s="292">
        <f t="shared" si="61"/>
        <v>0.00011051093711497786</v>
      </c>
      <c r="R283" s="293">
        <f t="shared" si="62"/>
        <v>0.00011892903851910293</v>
      </c>
    </row>
    <row r="284" spans="1:18" ht="14.25" customHeight="1">
      <c r="A284" s="23"/>
      <c r="B284" s="18" t="s">
        <v>495</v>
      </c>
      <c r="C284" s="8" t="s">
        <v>496</v>
      </c>
      <c r="D284" s="8"/>
      <c r="E284" s="8">
        <v>873</v>
      </c>
      <c r="F284" s="8">
        <v>1000</v>
      </c>
      <c r="G284" s="8">
        <v>0</v>
      </c>
      <c r="H284" s="8">
        <v>2600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24">
        <f t="shared" si="60"/>
        <v>0</v>
      </c>
      <c r="O284" s="24">
        <v>0</v>
      </c>
      <c r="P284" s="454">
        <v>0</v>
      </c>
      <c r="Q284" s="292">
        <f t="shared" si="61"/>
        <v>0</v>
      </c>
      <c r="R284" s="293">
        <f t="shared" si="62"/>
        <v>0</v>
      </c>
    </row>
    <row r="285" spans="1:18" ht="18.75" customHeight="1">
      <c r="A285" s="23"/>
      <c r="B285" s="18" t="s">
        <v>497</v>
      </c>
      <c r="C285" s="8" t="s">
        <v>498</v>
      </c>
      <c r="D285" s="8"/>
      <c r="E285" s="8">
        <v>126309</v>
      </c>
      <c r="F285" s="8">
        <v>0</v>
      </c>
      <c r="G285" s="8">
        <v>700</v>
      </c>
      <c r="H285" s="8">
        <v>60789</v>
      </c>
      <c r="I285" s="8">
        <v>0</v>
      </c>
      <c r="J285" s="8">
        <v>0</v>
      </c>
      <c r="K285" s="8">
        <v>64763</v>
      </c>
      <c r="L285" s="8">
        <v>68190</v>
      </c>
      <c r="M285" s="8">
        <v>0</v>
      </c>
      <c r="N285" s="24">
        <f t="shared" si="60"/>
        <v>68190</v>
      </c>
      <c r="O285" s="24">
        <v>0</v>
      </c>
      <c r="P285" s="454">
        <f t="shared" si="59"/>
        <v>1.0529160168614795</v>
      </c>
      <c r="Q285" s="292">
        <f t="shared" si="61"/>
        <v>0.0018560736048696346</v>
      </c>
      <c r="R285" s="293">
        <f t="shared" si="62"/>
        <v>0.002079428496568623</v>
      </c>
    </row>
    <row r="286" spans="1:18" ht="18.75" customHeight="1">
      <c r="A286" s="23"/>
      <c r="B286" s="18" t="s">
        <v>513</v>
      </c>
      <c r="C286" s="8" t="s">
        <v>514</v>
      </c>
      <c r="D286" s="8"/>
      <c r="E286" s="8"/>
      <c r="F286" s="8"/>
      <c r="G286" s="8"/>
      <c r="H286" s="8">
        <v>1021</v>
      </c>
      <c r="I286" s="8">
        <v>0</v>
      </c>
      <c r="J286" s="8">
        <v>0</v>
      </c>
      <c r="K286" s="8">
        <v>1068</v>
      </c>
      <c r="L286" s="8">
        <v>1100</v>
      </c>
      <c r="M286" s="8">
        <v>0</v>
      </c>
      <c r="N286" s="24">
        <f t="shared" si="60"/>
        <v>1100</v>
      </c>
      <c r="O286" s="24">
        <v>0</v>
      </c>
      <c r="P286" s="454">
        <f t="shared" si="59"/>
        <v>1.0299625468164795</v>
      </c>
      <c r="Q286" s="292">
        <f t="shared" si="61"/>
        <v>3.0608319719604865E-05</v>
      </c>
      <c r="R286" s="293">
        <f t="shared" si="62"/>
        <v>3.354408778743929E-05</v>
      </c>
    </row>
    <row r="287" spans="1:18" ht="21.75" customHeight="1">
      <c r="A287" s="23"/>
      <c r="B287" s="18" t="s">
        <v>627</v>
      </c>
      <c r="C287" s="249" t="s">
        <v>637</v>
      </c>
      <c r="D287" s="8"/>
      <c r="E287" s="8">
        <f>E288+E289</f>
        <v>302972</v>
      </c>
      <c r="F287" s="8">
        <f>F288+F289</f>
        <v>0</v>
      </c>
      <c r="G287" s="8">
        <f>G288+G289</f>
        <v>93147</v>
      </c>
      <c r="H287" s="8">
        <f>H288+H289+H290</f>
        <v>273254</v>
      </c>
      <c r="I287" s="8">
        <v>0</v>
      </c>
      <c r="J287" s="8">
        <v>0</v>
      </c>
      <c r="K287" s="8">
        <f>K288+K289+K290</f>
        <v>232586</v>
      </c>
      <c r="L287" s="8">
        <f>L288+L289+L290</f>
        <v>239847</v>
      </c>
      <c r="M287" s="8">
        <v>0</v>
      </c>
      <c r="N287" s="24">
        <f t="shared" si="60"/>
        <v>239847</v>
      </c>
      <c r="O287" s="24">
        <v>0</v>
      </c>
      <c r="P287" s="454">
        <f t="shared" si="59"/>
        <v>1.03121856001651</v>
      </c>
      <c r="Q287" s="292">
        <f t="shared" si="61"/>
        <v>0.006665792743730353</v>
      </c>
      <c r="R287" s="293">
        <f t="shared" si="62"/>
        <v>0.007314044385049046</v>
      </c>
    </row>
    <row r="288" spans="1:18" ht="13.5" customHeight="1">
      <c r="A288" s="23"/>
      <c r="B288" s="18"/>
      <c r="C288" s="8" t="s">
        <v>638</v>
      </c>
      <c r="D288" s="8"/>
      <c r="E288" s="8">
        <v>246759</v>
      </c>
      <c r="F288" s="8">
        <v>0</v>
      </c>
      <c r="G288" s="8">
        <v>72750</v>
      </c>
      <c r="H288" s="8">
        <v>62124</v>
      </c>
      <c r="I288" s="8">
        <v>0</v>
      </c>
      <c r="J288" s="8">
        <v>0</v>
      </c>
      <c r="K288" s="8">
        <v>57779</v>
      </c>
      <c r="L288" s="8">
        <v>48687</v>
      </c>
      <c r="M288" s="8">
        <v>0</v>
      </c>
      <c r="N288" s="24">
        <f t="shared" si="60"/>
        <v>48687</v>
      </c>
      <c r="O288" s="24">
        <v>0</v>
      </c>
      <c r="P288" s="454">
        <f t="shared" si="59"/>
        <v>0.8426417902698212</v>
      </c>
      <c r="Q288" s="292">
        <f t="shared" si="61"/>
        <v>0.0016559158287257018</v>
      </c>
      <c r="R288" s="293">
        <f t="shared" si="62"/>
        <v>0.0014846918200973243</v>
      </c>
    </row>
    <row r="289" spans="1:18" ht="13.5" customHeight="1" hidden="1">
      <c r="A289" s="23"/>
      <c r="B289" s="8"/>
      <c r="C289" s="8" t="s">
        <v>639</v>
      </c>
      <c r="D289" s="8"/>
      <c r="E289" s="8">
        <v>56213</v>
      </c>
      <c r="F289" s="8">
        <v>0</v>
      </c>
      <c r="G289" s="8">
        <v>20397</v>
      </c>
      <c r="H289" s="8">
        <v>39687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24">
        <f t="shared" si="60"/>
        <v>0</v>
      </c>
      <c r="O289" s="24">
        <v>0</v>
      </c>
      <c r="P289" s="454" t="e">
        <f t="shared" si="59"/>
        <v>#DIV/0!</v>
      </c>
      <c r="Q289" s="292">
        <f t="shared" si="61"/>
        <v>0</v>
      </c>
      <c r="R289" s="293">
        <f t="shared" si="62"/>
        <v>0</v>
      </c>
    </row>
    <row r="290" spans="1:18" ht="13.5" customHeight="1">
      <c r="A290" s="23"/>
      <c r="B290" s="8"/>
      <c r="C290" s="8" t="s">
        <v>640</v>
      </c>
      <c r="D290" s="8"/>
      <c r="E290" s="8"/>
      <c r="F290" s="8"/>
      <c r="G290" s="8"/>
      <c r="H290" s="8">
        <v>171443</v>
      </c>
      <c r="I290" s="8">
        <v>0</v>
      </c>
      <c r="J290" s="8">
        <v>0</v>
      </c>
      <c r="K290" s="8">
        <v>174807</v>
      </c>
      <c r="L290" s="8">
        <v>191160</v>
      </c>
      <c r="M290" s="8">
        <v>0</v>
      </c>
      <c r="N290" s="24">
        <f t="shared" si="60"/>
        <v>191160</v>
      </c>
      <c r="O290" s="24">
        <v>0</v>
      </c>
      <c r="P290" s="454">
        <f t="shared" si="59"/>
        <v>1.0935488853421202</v>
      </c>
      <c r="Q290" s="292">
        <f t="shared" si="61"/>
        <v>0.005009876915004651</v>
      </c>
      <c r="R290" s="293">
        <f t="shared" si="62"/>
        <v>0.005829352564951722</v>
      </c>
    </row>
    <row r="291" spans="1:18" ht="18.75" customHeight="1">
      <c r="A291" s="26" t="s">
        <v>409</v>
      </c>
      <c r="B291" s="7"/>
      <c r="C291" s="7" t="s">
        <v>410</v>
      </c>
      <c r="D291" s="7"/>
      <c r="E291" s="7"/>
      <c r="F291" s="7"/>
      <c r="G291" s="7"/>
      <c r="H291" s="7" t="e">
        <f>H292+H294+H295+H297+H298+H299+H300+#REF!</f>
        <v>#REF!</v>
      </c>
      <c r="I291" s="7" t="e">
        <f>I292+I294+I295+I297+I298+I299+I300+#REF!</f>
        <v>#REF!</v>
      </c>
      <c r="J291" s="7" t="e">
        <f>J292+J294+J295+J297+J298+J299+J300+#REF!</f>
        <v>#REF!</v>
      </c>
      <c r="K291" s="7">
        <f>SUM(K292:K300)</f>
        <v>1059528</v>
      </c>
      <c r="L291" s="7">
        <f>SUM(L292:L300)</f>
        <v>966176</v>
      </c>
      <c r="M291" s="7">
        <f>M292+M294+M295+M297+M298+M299+M300+M296+M293</f>
        <v>0</v>
      </c>
      <c r="N291" s="7">
        <f>N292+N294+N295+N297+N298+N299+N300+N296+N293</f>
        <v>966176</v>
      </c>
      <c r="O291" s="7">
        <f>O292+O294+O295+O297+O298+O299+O300+O296+O293</f>
        <v>0</v>
      </c>
      <c r="P291" s="454">
        <f t="shared" si="59"/>
        <v>0.9118928428507789</v>
      </c>
      <c r="Q291" s="292">
        <f t="shared" si="61"/>
        <v>0.030365516644076312</v>
      </c>
      <c r="R291" s="293">
        <f t="shared" si="62"/>
        <v>0.029463175056469948</v>
      </c>
    </row>
    <row r="292" spans="1:18" ht="24.75" customHeight="1">
      <c r="A292" s="23"/>
      <c r="B292" s="8">
        <v>4010</v>
      </c>
      <c r="C292" s="11" t="s">
        <v>476</v>
      </c>
      <c r="D292" s="8"/>
      <c r="E292" s="8"/>
      <c r="F292" s="8"/>
      <c r="G292" s="8"/>
      <c r="H292" s="8">
        <v>322855</v>
      </c>
      <c r="I292" s="8">
        <v>0</v>
      </c>
      <c r="J292" s="8">
        <v>0</v>
      </c>
      <c r="K292" s="8">
        <v>710120</v>
      </c>
      <c r="L292" s="8">
        <v>686900</v>
      </c>
      <c r="M292" s="8">
        <v>0</v>
      </c>
      <c r="N292" s="24">
        <f>L292</f>
        <v>686900</v>
      </c>
      <c r="O292" s="24">
        <v>0</v>
      </c>
      <c r="P292" s="454">
        <f t="shared" si="59"/>
        <v>0.9673013011885315</v>
      </c>
      <c r="Q292" s="292">
        <f t="shared" si="61"/>
        <v>0.020351666665997945</v>
      </c>
      <c r="R292" s="293">
        <f t="shared" si="62"/>
        <v>0.02094675809199277</v>
      </c>
    </row>
    <row r="293" spans="1:18" ht="19.5" customHeight="1">
      <c r="A293" s="23"/>
      <c r="B293" s="8">
        <v>4040</v>
      </c>
      <c r="C293" s="11" t="s">
        <v>480</v>
      </c>
      <c r="D293" s="8"/>
      <c r="E293" s="8"/>
      <c r="F293" s="8"/>
      <c r="G293" s="8"/>
      <c r="H293" s="8"/>
      <c r="I293" s="8"/>
      <c r="J293" s="8"/>
      <c r="K293" s="8">
        <v>47493</v>
      </c>
      <c r="L293" s="8">
        <v>54345</v>
      </c>
      <c r="M293" s="8">
        <v>0</v>
      </c>
      <c r="N293" s="24">
        <f>L293</f>
        <v>54345</v>
      </c>
      <c r="O293" s="24">
        <v>0</v>
      </c>
      <c r="P293" s="454">
        <f t="shared" si="59"/>
        <v>1.1442738929947571</v>
      </c>
      <c r="Q293" s="292">
        <f t="shared" si="61"/>
        <v>0.0013611244648344511</v>
      </c>
      <c r="R293" s="293">
        <f t="shared" si="62"/>
        <v>0.0016572304098258074</v>
      </c>
    </row>
    <row r="294" spans="1:18" ht="13.5" customHeight="1">
      <c r="A294" s="23"/>
      <c r="B294" s="8">
        <v>4110</v>
      </c>
      <c r="C294" s="11" t="s">
        <v>554</v>
      </c>
      <c r="D294" s="8"/>
      <c r="E294" s="8"/>
      <c r="F294" s="8"/>
      <c r="G294" s="8"/>
      <c r="H294" s="8">
        <v>58061</v>
      </c>
      <c r="I294" s="8">
        <v>0</v>
      </c>
      <c r="J294" s="8">
        <v>0</v>
      </c>
      <c r="K294" s="8">
        <v>131113</v>
      </c>
      <c r="L294" s="8">
        <v>130202</v>
      </c>
      <c r="M294" s="8">
        <v>0</v>
      </c>
      <c r="N294" s="24">
        <f aca="true" t="shared" si="63" ref="N294:N300">L294</f>
        <v>130202</v>
      </c>
      <c r="O294" s="24">
        <v>0</v>
      </c>
      <c r="P294" s="454">
        <f t="shared" si="59"/>
        <v>0.9930517950165125</v>
      </c>
      <c r="Q294" s="292">
        <f t="shared" si="61"/>
        <v>0.0037576297971877834</v>
      </c>
      <c r="R294" s="293">
        <f t="shared" si="62"/>
        <v>0.003970461198272882</v>
      </c>
    </row>
    <row r="295" spans="1:18" ht="13.5" customHeight="1">
      <c r="A295" s="23"/>
      <c r="B295" s="8">
        <v>4120</v>
      </c>
      <c r="C295" s="11" t="s">
        <v>484</v>
      </c>
      <c r="D295" s="8"/>
      <c r="E295" s="8"/>
      <c r="F295" s="8"/>
      <c r="G295" s="8"/>
      <c r="H295" s="8">
        <v>7696</v>
      </c>
      <c r="I295" s="8">
        <v>0</v>
      </c>
      <c r="J295" s="8">
        <v>0</v>
      </c>
      <c r="K295" s="8">
        <v>18088</v>
      </c>
      <c r="L295" s="8">
        <v>17732</v>
      </c>
      <c r="M295" s="8">
        <v>0</v>
      </c>
      <c r="N295" s="24">
        <f t="shared" si="63"/>
        <v>17732</v>
      </c>
      <c r="O295" s="24">
        <v>0</v>
      </c>
      <c r="P295" s="454">
        <f t="shared" si="59"/>
        <v>0.9803184431667403</v>
      </c>
      <c r="Q295" s="292">
        <f t="shared" si="61"/>
        <v>0.0005183925909065663</v>
      </c>
      <c r="R295" s="293">
        <f t="shared" si="62"/>
        <v>0.0005407306951335213</v>
      </c>
    </row>
    <row r="296" spans="1:18" ht="15" customHeight="1" hidden="1">
      <c r="A296" s="23"/>
      <c r="B296" s="8">
        <v>3020</v>
      </c>
      <c r="C296" s="8" t="s">
        <v>634</v>
      </c>
      <c r="D296" s="8"/>
      <c r="E296" s="8"/>
      <c r="F296" s="8"/>
      <c r="G296" s="8"/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24">
        <f t="shared" si="63"/>
        <v>0</v>
      </c>
      <c r="O296" s="24">
        <v>0</v>
      </c>
      <c r="P296" s="454" t="e">
        <f t="shared" si="59"/>
        <v>#DIV/0!</v>
      </c>
      <c r="Q296" s="292">
        <f t="shared" si="61"/>
        <v>0</v>
      </c>
      <c r="R296" s="293">
        <f t="shared" si="62"/>
        <v>0</v>
      </c>
    </row>
    <row r="297" spans="1:18" ht="13.5" customHeight="1">
      <c r="A297" s="23"/>
      <c r="B297" s="8">
        <v>4210</v>
      </c>
      <c r="C297" s="8" t="s">
        <v>512</v>
      </c>
      <c r="D297" s="8"/>
      <c r="E297" s="8"/>
      <c r="F297" s="8"/>
      <c r="G297" s="8"/>
      <c r="H297" s="8">
        <v>44979</v>
      </c>
      <c r="I297" s="8">
        <v>0</v>
      </c>
      <c r="J297" s="8">
        <v>0</v>
      </c>
      <c r="K297" s="8">
        <v>82040</v>
      </c>
      <c r="L297" s="8">
        <v>2040</v>
      </c>
      <c r="M297" s="8">
        <v>0</v>
      </c>
      <c r="N297" s="24">
        <f t="shared" si="63"/>
        <v>2040</v>
      </c>
      <c r="O297" s="24">
        <v>0</v>
      </c>
      <c r="P297" s="454">
        <f t="shared" si="59"/>
        <v>0.024865919063871283</v>
      </c>
      <c r="Q297" s="292">
        <f t="shared" si="61"/>
        <v>0.0023512233612325685</v>
      </c>
      <c r="R297" s="293">
        <f t="shared" si="62"/>
        <v>6.220903553306923E-05</v>
      </c>
    </row>
    <row r="298" spans="1:18" ht="13.5" customHeight="1">
      <c r="A298" s="23"/>
      <c r="B298" s="8">
        <v>4260</v>
      </c>
      <c r="C298" s="8" t="s">
        <v>584</v>
      </c>
      <c r="D298" s="8"/>
      <c r="E298" s="8"/>
      <c r="F298" s="8"/>
      <c r="G298" s="8"/>
      <c r="H298" s="8">
        <v>12000</v>
      </c>
      <c r="I298" s="8">
        <v>0</v>
      </c>
      <c r="J298" s="8">
        <v>0</v>
      </c>
      <c r="K298" s="8">
        <v>17000</v>
      </c>
      <c r="L298" s="8">
        <v>17200</v>
      </c>
      <c r="M298" s="8">
        <v>0</v>
      </c>
      <c r="N298" s="24">
        <f t="shared" si="63"/>
        <v>17200</v>
      </c>
      <c r="O298" s="24">
        <v>0</v>
      </c>
      <c r="P298" s="454">
        <f t="shared" si="59"/>
        <v>1.011764705882353</v>
      </c>
      <c r="Q298" s="292">
        <f t="shared" si="61"/>
        <v>0.0004872110816791036</v>
      </c>
      <c r="R298" s="293">
        <f t="shared" si="62"/>
        <v>0.0005245075544945052</v>
      </c>
    </row>
    <row r="299" spans="1:18" ht="13.5" customHeight="1">
      <c r="A299" s="23"/>
      <c r="B299" s="8">
        <v>4300</v>
      </c>
      <c r="C299" s="8" t="s">
        <v>492</v>
      </c>
      <c r="D299" s="8"/>
      <c r="E299" s="8"/>
      <c r="F299" s="8"/>
      <c r="G299" s="8"/>
      <c r="H299" s="8">
        <v>4664</v>
      </c>
      <c r="I299" s="8">
        <v>0</v>
      </c>
      <c r="J299" s="8">
        <v>0</v>
      </c>
      <c r="K299" s="8">
        <v>10444</v>
      </c>
      <c r="L299" s="8">
        <v>10600</v>
      </c>
      <c r="M299" s="8">
        <v>0</v>
      </c>
      <c r="N299" s="24">
        <f t="shared" si="63"/>
        <v>10600</v>
      </c>
      <c r="O299" s="24">
        <v>0</v>
      </c>
      <c r="P299" s="454">
        <f t="shared" si="59"/>
        <v>1.0149368058215242</v>
      </c>
      <c r="Q299" s="292">
        <f t="shared" si="61"/>
        <v>0.00029931956100332695</v>
      </c>
      <c r="R299" s="293">
        <f t="shared" si="62"/>
        <v>0.0003232430277698695</v>
      </c>
    </row>
    <row r="300" spans="1:18" ht="13.5" customHeight="1">
      <c r="A300" s="23"/>
      <c r="B300" s="8">
        <v>4440</v>
      </c>
      <c r="C300" s="8" t="s">
        <v>498</v>
      </c>
      <c r="D300" s="8"/>
      <c r="E300" s="8"/>
      <c r="F300" s="8"/>
      <c r="G300" s="8"/>
      <c r="H300" s="8">
        <v>15378</v>
      </c>
      <c r="I300" s="8">
        <v>0</v>
      </c>
      <c r="J300" s="8">
        <v>0</v>
      </c>
      <c r="K300" s="8">
        <v>43230</v>
      </c>
      <c r="L300" s="8">
        <v>47157</v>
      </c>
      <c r="M300" s="8">
        <v>0</v>
      </c>
      <c r="N300" s="24">
        <f t="shared" si="63"/>
        <v>47157</v>
      </c>
      <c r="O300" s="24">
        <v>0</v>
      </c>
      <c r="P300" s="454">
        <f t="shared" si="59"/>
        <v>1.0908396946564884</v>
      </c>
      <c r="Q300" s="292">
        <f t="shared" si="61"/>
        <v>0.0012389491212345676</v>
      </c>
      <c r="R300" s="293">
        <f t="shared" si="62"/>
        <v>0.0014380350434475223</v>
      </c>
    </row>
    <row r="301" spans="1:18" ht="18.75" customHeight="1">
      <c r="A301" s="26" t="s">
        <v>642</v>
      </c>
      <c r="B301" s="27"/>
      <c r="C301" s="7" t="s">
        <v>643</v>
      </c>
      <c r="D301" s="7">
        <f>D303+D304+D305+D302</f>
        <v>1881934</v>
      </c>
      <c r="E301" s="7">
        <f>E303+E304+E305+E306+E307+E302+E310+E311+E312+E313+E315+E317+E319+E320+E329+E328</f>
        <v>4748335</v>
      </c>
      <c r="F301" s="7">
        <f>F303+F304+F305+F306+F307+F302+F310+F311+F312+F313+F315+F317+F319+F320+F329+F328</f>
        <v>94490</v>
      </c>
      <c r="G301" s="7">
        <f>G303+G304+G305+G306+G307+G302+G310+G311+G312+G313+G315+G317+G319+G320+G329+G328</f>
        <v>82430</v>
      </c>
      <c r="H301" s="7">
        <f>H303+H304+H305+H306+H307+H302+H310+H311+H312+H313+H315+H317+H319+H320+H329+H328+H308+H326+H353+H354</f>
        <v>6452073</v>
      </c>
      <c r="I301" s="7">
        <f>I303+I304+I305+I306+I307+I302+I310+I311+I312+I313+I315+I317+I319+I320+I329+I328+I308+I326+I353+I354</f>
        <v>0</v>
      </c>
      <c r="J301" s="7">
        <f>J303+J304+J305+J306+J307+J302+J310+J311+J312+J313+J315+J317+J319+J320+J329+J328+J308+J326+J353+J354</f>
        <v>0</v>
      </c>
      <c r="K301" s="7">
        <f>SUM(K302:K329)</f>
        <v>4621429</v>
      </c>
      <c r="L301" s="7">
        <f>SUM(L302:L329)</f>
        <v>4532491</v>
      </c>
      <c r="M301" s="7">
        <f>SUM(M302:M329)</f>
        <v>0</v>
      </c>
      <c r="N301" s="7">
        <f>SUM(N302:N329)</f>
        <v>4532491</v>
      </c>
      <c r="O301" s="7">
        <f>O303+O304+O305+O306+O307+O302+O309+O310+O311+O312+O313+O315+O316+O317+O318+O319+O320+O327+O329+O328+O308+O326+O353+O354</f>
        <v>0</v>
      </c>
      <c r="P301" s="454">
        <f t="shared" si="59"/>
        <v>0.980755303175706</v>
      </c>
      <c r="Q301" s="292">
        <f t="shared" si="61"/>
        <v>0.13244773070548108</v>
      </c>
      <c r="R301" s="293">
        <f t="shared" si="62"/>
        <v>0.13821661454525316</v>
      </c>
    </row>
    <row r="302" spans="1:18" ht="17.25" customHeight="1">
      <c r="A302" s="23"/>
      <c r="B302" s="18" t="s">
        <v>461</v>
      </c>
      <c r="C302" s="11" t="s">
        <v>644</v>
      </c>
      <c r="D302" s="8">
        <v>262062</v>
      </c>
      <c r="E302" s="8">
        <v>7439</v>
      </c>
      <c r="F302" s="8">
        <v>0</v>
      </c>
      <c r="G302" s="8">
        <v>0</v>
      </c>
      <c r="H302" s="8">
        <v>4872</v>
      </c>
      <c r="I302" s="8">
        <v>0</v>
      </c>
      <c r="J302" s="8">
        <v>0</v>
      </c>
      <c r="K302" s="8">
        <v>2700</v>
      </c>
      <c r="L302" s="8">
        <v>0</v>
      </c>
      <c r="M302" s="8">
        <v>0</v>
      </c>
      <c r="N302" s="24">
        <f>L302</f>
        <v>0</v>
      </c>
      <c r="O302" s="24">
        <v>0</v>
      </c>
      <c r="P302" s="454">
        <f t="shared" si="59"/>
        <v>0</v>
      </c>
      <c r="Q302" s="292">
        <f>K302/$K$662</f>
        <v>7.738058356079881E-05</v>
      </c>
      <c r="R302" s="293">
        <f>L302/$L$662</f>
        <v>0</v>
      </c>
    </row>
    <row r="303" spans="1:18" ht="24" customHeight="1">
      <c r="A303" s="23"/>
      <c r="B303" s="18" t="s">
        <v>475</v>
      </c>
      <c r="C303" s="11" t="s">
        <v>476</v>
      </c>
      <c r="D303" s="8">
        <v>1306363</v>
      </c>
      <c r="E303" s="8">
        <v>2620120</v>
      </c>
      <c r="F303" s="8">
        <v>76198</v>
      </c>
      <c r="G303" s="8">
        <v>0</v>
      </c>
      <c r="H303" s="8">
        <v>2507234</v>
      </c>
      <c r="I303" s="8">
        <v>0</v>
      </c>
      <c r="J303" s="8">
        <v>0</v>
      </c>
      <c r="K303" s="8">
        <v>2676717</v>
      </c>
      <c r="L303" s="8">
        <v>2696867</v>
      </c>
      <c r="M303" s="8">
        <v>0</v>
      </c>
      <c r="N303" s="24">
        <f>L303</f>
        <v>2696867</v>
      </c>
      <c r="O303" s="24">
        <v>0</v>
      </c>
      <c r="P303" s="454">
        <f t="shared" si="59"/>
        <v>1.007527878367418</v>
      </c>
      <c r="Q303" s="292">
        <f t="shared" si="61"/>
        <v>0.07671330499522619</v>
      </c>
      <c r="R303" s="293">
        <f t="shared" si="62"/>
        <v>0.08223994854458912</v>
      </c>
    </row>
    <row r="304" spans="1:18" ht="15" customHeight="1">
      <c r="A304" s="23"/>
      <c r="B304" s="18" t="s">
        <v>479</v>
      </c>
      <c r="C304" s="11" t="s">
        <v>480</v>
      </c>
      <c r="D304" s="8">
        <v>74072</v>
      </c>
      <c r="E304" s="8">
        <v>90144</v>
      </c>
      <c r="F304" s="8">
        <v>0</v>
      </c>
      <c r="G304" s="8">
        <v>0</v>
      </c>
      <c r="H304" s="8">
        <v>229094</v>
      </c>
      <c r="I304" s="8">
        <v>0</v>
      </c>
      <c r="J304" s="8">
        <v>0</v>
      </c>
      <c r="K304" s="8">
        <v>224454</v>
      </c>
      <c r="L304" s="8">
        <v>229366</v>
      </c>
      <c r="M304" s="8">
        <v>0</v>
      </c>
      <c r="N304" s="24">
        <f aca="true" t="shared" si="64" ref="N304:N333">L304</f>
        <v>229366</v>
      </c>
      <c r="O304" s="24">
        <v>0</v>
      </c>
      <c r="P304" s="454">
        <f t="shared" si="59"/>
        <v>1.0218842168105715</v>
      </c>
      <c r="Q304" s="292">
        <f t="shared" si="61"/>
        <v>0.006432733889835384</v>
      </c>
      <c r="R304" s="293">
        <f t="shared" si="62"/>
        <v>0.006994430217685273</v>
      </c>
    </row>
    <row r="305" spans="1:18" ht="12.75" customHeight="1">
      <c r="A305" s="23"/>
      <c r="B305" s="25" t="s">
        <v>532</v>
      </c>
      <c r="C305" s="11" t="s">
        <v>554</v>
      </c>
      <c r="D305" s="8">
        <v>239437</v>
      </c>
      <c r="E305" s="8">
        <v>480155</v>
      </c>
      <c r="F305" s="8">
        <v>6005</v>
      </c>
      <c r="G305" s="8">
        <v>0</v>
      </c>
      <c r="H305" s="8">
        <v>471989</v>
      </c>
      <c r="I305" s="8">
        <v>0</v>
      </c>
      <c r="J305" s="8">
        <v>0</v>
      </c>
      <c r="K305" s="8">
        <v>508761</v>
      </c>
      <c r="L305" s="8">
        <v>510820</v>
      </c>
      <c r="M305" s="8">
        <v>0</v>
      </c>
      <c r="N305" s="24">
        <f t="shared" si="64"/>
        <v>510820</v>
      </c>
      <c r="O305" s="24">
        <v>0</v>
      </c>
      <c r="P305" s="454">
        <f t="shared" si="59"/>
        <v>1.004047086942592</v>
      </c>
      <c r="Q305" s="292">
        <f t="shared" si="61"/>
        <v>0.01458082336036132</v>
      </c>
      <c r="R305" s="293">
        <f t="shared" si="62"/>
        <v>0.01557726447598158</v>
      </c>
    </row>
    <row r="306" spans="1:18" ht="15" customHeight="1">
      <c r="A306" s="23"/>
      <c r="B306" s="25" t="s">
        <v>483</v>
      </c>
      <c r="C306" s="11" t="s">
        <v>484</v>
      </c>
      <c r="D306" s="8"/>
      <c r="E306" s="8">
        <v>62713</v>
      </c>
      <c r="F306" s="8">
        <v>822</v>
      </c>
      <c r="G306" s="8">
        <v>0</v>
      </c>
      <c r="H306" s="8">
        <v>64920</v>
      </c>
      <c r="I306" s="8">
        <v>0</v>
      </c>
      <c r="J306" s="8">
        <v>0</v>
      </c>
      <c r="K306" s="8">
        <v>70031</v>
      </c>
      <c r="L306" s="8">
        <v>69612</v>
      </c>
      <c r="M306" s="8">
        <v>0</v>
      </c>
      <c r="N306" s="24">
        <f t="shared" si="64"/>
        <v>69612</v>
      </c>
      <c r="O306" s="24">
        <v>0</v>
      </c>
      <c r="P306" s="454">
        <f t="shared" si="59"/>
        <v>0.9940169353571989</v>
      </c>
      <c r="Q306" s="292">
        <f aca="true" t="shared" si="65" ref="Q306:Q318">K306/$K$662</f>
        <v>0.002007051721239371</v>
      </c>
      <c r="R306" s="293">
        <f aca="true" t="shared" si="66" ref="R306:R318">L306/$L$662</f>
        <v>0.0021227918536902033</v>
      </c>
    </row>
    <row r="307" spans="1:18" ht="3" customHeight="1" hidden="1">
      <c r="A307" s="23"/>
      <c r="B307" s="25"/>
      <c r="C307" s="11" t="s">
        <v>523</v>
      </c>
      <c r="D307" s="8"/>
      <c r="E307" s="8">
        <v>2580</v>
      </c>
      <c r="F307" s="8">
        <v>0</v>
      </c>
      <c r="G307" s="8">
        <v>150</v>
      </c>
      <c r="H307" s="8"/>
      <c r="I307" s="8">
        <v>0</v>
      </c>
      <c r="J307" s="8">
        <v>0</v>
      </c>
      <c r="K307" s="8">
        <v>0</v>
      </c>
      <c r="L307" s="8"/>
      <c r="M307" s="8">
        <v>0</v>
      </c>
      <c r="N307" s="24">
        <f t="shared" si="64"/>
        <v>0</v>
      </c>
      <c r="O307" s="24">
        <v>0</v>
      </c>
      <c r="P307" s="454" t="e">
        <f t="shared" si="59"/>
        <v>#DIV/0!</v>
      </c>
      <c r="Q307" s="292">
        <f t="shared" si="65"/>
        <v>0</v>
      </c>
      <c r="R307" s="293">
        <f t="shared" si="66"/>
        <v>0</v>
      </c>
    </row>
    <row r="308" spans="1:18" ht="14.25" customHeight="1">
      <c r="A308" s="23"/>
      <c r="B308" s="18" t="s">
        <v>635</v>
      </c>
      <c r="C308" s="11" t="s">
        <v>645</v>
      </c>
      <c r="D308" s="8"/>
      <c r="E308" s="8"/>
      <c r="F308" s="8"/>
      <c r="G308" s="8"/>
      <c r="H308" s="8">
        <v>8642</v>
      </c>
      <c r="I308" s="8">
        <v>0</v>
      </c>
      <c r="J308" s="8">
        <v>0</v>
      </c>
      <c r="K308" s="8">
        <v>6000</v>
      </c>
      <c r="L308" s="8">
        <v>6100</v>
      </c>
      <c r="M308" s="8">
        <v>0</v>
      </c>
      <c r="N308" s="24">
        <f t="shared" si="64"/>
        <v>6100</v>
      </c>
      <c r="O308" s="24">
        <v>0</v>
      </c>
      <c r="P308" s="454">
        <f t="shared" si="59"/>
        <v>1.0166666666666666</v>
      </c>
      <c r="Q308" s="292">
        <f t="shared" si="65"/>
        <v>0.0001719568523573307</v>
      </c>
      <c r="R308" s="293">
        <f t="shared" si="66"/>
        <v>0.00018601721409398152</v>
      </c>
    </row>
    <row r="309" spans="1:18" ht="14.25" customHeight="1">
      <c r="A309" s="23"/>
      <c r="B309" s="18" t="s">
        <v>256</v>
      </c>
      <c r="C309" s="11" t="s">
        <v>257</v>
      </c>
      <c r="D309" s="8"/>
      <c r="E309" s="8"/>
      <c r="F309" s="8"/>
      <c r="G309" s="8"/>
      <c r="H309" s="8"/>
      <c r="I309" s="8"/>
      <c r="J309" s="8"/>
      <c r="K309" s="8">
        <v>4900</v>
      </c>
      <c r="L309" s="8">
        <v>9500</v>
      </c>
      <c r="M309" s="8">
        <v>0</v>
      </c>
      <c r="N309" s="24">
        <f>L309</f>
        <v>9500</v>
      </c>
      <c r="O309" s="24">
        <v>0</v>
      </c>
      <c r="P309" s="454">
        <f t="shared" si="59"/>
        <v>1.9387755102040816</v>
      </c>
      <c r="Q309" s="292">
        <f t="shared" si="65"/>
        <v>0.0001404314294251534</v>
      </c>
      <c r="R309" s="293">
        <f t="shared" si="66"/>
        <v>0.00028969893998243023</v>
      </c>
    </row>
    <row r="310" spans="1:18" ht="15" customHeight="1">
      <c r="A310" s="23"/>
      <c r="B310" s="18" t="s">
        <v>485</v>
      </c>
      <c r="C310" s="8" t="s">
        <v>512</v>
      </c>
      <c r="D310" s="8"/>
      <c r="E310" s="8">
        <v>262668</v>
      </c>
      <c r="F310" s="8">
        <v>7750</v>
      </c>
      <c r="G310" s="8">
        <v>0</v>
      </c>
      <c r="H310" s="8">
        <v>374867</v>
      </c>
      <c r="I310" s="8">
        <v>0</v>
      </c>
      <c r="J310" s="8">
        <v>0</v>
      </c>
      <c r="K310" s="8">
        <v>589553</v>
      </c>
      <c r="L310" s="8">
        <v>539362</v>
      </c>
      <c r="M310" s="8">
        <v>0</v>
      </c>
      <c r="N310" s="24">
        <f t="shared" si="64"/>
        <v>539362</v>
      </c>
      <c r="O310" s="24">
        <v>0</v>
      </c>
      <c r="P310" s="454">
        <f t="shared" si="59"/>
        <v>0.9148660086540141</v>
      </c>
      <c r="Q310" s="292">
        <f t="shared" si="65"/>
        <v>0.016896279696303564</v>
      </c>
      <c r="R310" s="293">
        <f t="shared" si="66"/>
        <v>0.016447642070189845</v>
      </c>
    </row>
    <row r="311" spans="1:18" ht="15" customHeight="1">
      <c r="A311" s="23"/>
      <c r="B311" s="18" t="s">
        <v>624</v>
      </c>
      <c r="C311" s="8" t="s">
        <v>625</v>
      </c>
      <c r="D311" s="8"/>
      <c r="E311" s="8">
        <v>5206</v>
      </c>
      <c r="F311" s="8">
        <v>0</v>
      </c>
      <c r="G311" s="8">
        <v>1000</v>
      </c>
      <c r="H311" s="8">
        <v>6041</v>
      </c>
      <c r="I311" s="8">
        <v>0</v>
      </c>
      <c r="J311" s="8">
        <v>0</v>
      </c>
      <c r="K311" s="8">
        <v>8000</v>
      </c>
      <c r="L311" s="8">
        <v>8200</v>
      </c>
      <c r="M311" s="8">
        <v>0</v>
      </c>
      <c r="N311" s="24">
        <f t="shared" si="64"/>
        <v>8200</v>
      </c>
      <c r="O311" s="24">
        <v>0</v>
      </c>
      <c r="P311" s="454">
        <f t="shared" si="59"/>
        <v>1.025</v>
      </c>
      <c r="Q311" s="292">
        <f t="shared" si="65"/>
        <v>0.0002292758031431076</v>
      </c>
      <c r="R311" s="293">
        <f t="shared" si="66"/>
        <v>0.00025005592714272924</v>
      </c>
    </row>
    <row r="312" spans="1:18" ht="14.25" customHeight="1">
      <c r="A312" s="23"/>
      <c r="B312" s="18" t="s">
        <v>487</v>
      </c>
      <c r="C312" s="8" t="s">
        <v>584</v>
      </c>
      <c r="D312" s="8"/>
      <c r="E312" s="8">
        <v>47707</v>
      </c>
      <c r="F312" s="8">
        <v>0</v>
      </c>
      <c r="G312" s="8">
        <v>3000</v>
      </c>
      <c r="H312" s="8">
        <v>88260</v>
      </c>
      <c r="I312" s="8">
        <v>0</v>
      </c>
      <c r="J312" s="8">
        <v>0</v>
      </c>
      <c r="K312" s="8">
        <v>64500</v>
      </c>
      <c r="L312" s="8">
        <v>65278</v>
      </c>
      <c r="M312" s="8">
        <v>0</v>
      </c>
      <c r="N312" s="24">
        <f t="shared" si="64"/>
        <v>65278</v>
      </c>
      <c r="O312" s="24">
        <v>0</v>
      </c>
      <c r="P312" s="454">
        <f t="shared" si="59"/>
        <v>1.012062015503876</v>
      </c>
      <c r="Q312" s="292">
        <f t="shared" si="65"/>
        <v>0.001848536162841305</v>
      </c>
      <c r="R312" s="293">
        <f t="shared" si="66"/>
        <v>0.0019906281478076927</v>
      </c>
    </row>
    <row r="313" spans="1:18" ht="14.25" customHeight="1">
      <c r="A313" s="23"/>
      <c r="B313" s="18" t="s">
        <v>489</v>
      </c>
      <c r="C313" s="8" t="s">
        <v>585</v>
      </c>
      <c r="D313" s="8"/>
      <c r="E313" s="8">
        <v>55847</v>
      </c>
      <c r="F313" s="8">
        <v>0</v>
      </c>
      <c r="G313" s="8">
        <v>765</v>
      </c>
      <c r="H313" s="8">
        <v>241716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24">
        <f t="shared" si="64"/>
        <v>0</v>
      </c>
      <c r="O313" s="24">
        <v>0</v>
      </c>
      <c r="P313" s="454">
        <v>0</v>
      </c>
      <c r="Q313" s="292">
        <f t="shared" si="65"/>
        <v>0</v>
      </c>
      <c r="R313" s="293">
        <f t="shared" si="66"/>
        <v>0</v>
      </c>
    </row>
    <row r="314" spans="1:18" ht="14.25" customHeight="1">
      <c r="A314" s="23"/>
      <c r="B314" s="18" t="s">
        <v>561</v>
      </c>
      <c r="C314" s="8" t="s">
        <v>562</v>
      </c>
      <c r="D314" s="8"/>
      <c r="E314" s="8"/>
      <c r="F314" s="8"/>
      <c r="G314" s="8"/>
      <c r="H314" s="8"/>
      <c r="I314" s="8"/>
      <c r="J314" s="8"/>
      <c r="K314" s="8">
        <v>0</v>
      </c>
      <c r="L314" s="8">
        <v>2625</v>
      </c>
      <c r="M314" s="8"/>
      <c r="N314" s="24">
        <f t="shared" si="64"/>
        <v>2625</v>
      </c>
      <c r="O314" s="24"/>
      <c r="P314" s="454">
        <v>0</v>
      </c>
      <c r="Q314" s="292">
        <f t="shared" si="65"/>
        <v>0</v>
      </c>
      <c r="R314" s="293">
        <f t="shared" si="66"/>
        <v>8.004839131093467E-05</v>
      </c>
    </row>
    <row r="315" spans="1:18" ht="14.25" customHeight="1">
      <c r="A315" s="23"/>
      <c r="B315" s="18" t="s">
        <v>491</v>
      </c>
      <c r="C315" s="8" t="s">
        <v>586</v>
      </c>
      <c r="D315" s="8"/>
      <c r="E315" s="8">
        <v>36614</v>
      </c>
      <c r="F315" s="8">
        <v>3715</v>
      </c>
      <c r="G315" s="8">
        <v>0</v>
      </c>
      <c r="H315" s="8">
        <v>96150</v>
      </c>
      <c r="I315" s="8">
        <v>0</v>
      </c>
      <c r="J315" s="8">
        <v>0</v>
      </c>
      <c r="K315" s="8">
        <v>106984</v>
      </c>
      <c r="L315" s="8">
        <v>110125</v>
      </c>
      <c r="M315" s="8">
        <v>0</v>
      </c>
      <c r="N315" s="24">
        <f t="shared" si="64"/>
        <v>110125</v>
      </c>
      <c r="O315" s="24">
        <v>0</v>
      </c>
      <c r="P315" s="454">
        <f t="shared" si="59"/>
        <v>1.0293595303970686</v>
      </c>
      <c r="Q315" s="292">
        <f t="shared" si="65"/>
        <v>0.003066105315432778</v>
      </c>
      <c r="R315" s="293">
        <f t="shared" si="66"/>
        <v>0.0033582206069015922</v>
      </c>
    </row>
    <row r="316" spans="1:18" ht="14.25" customHeight="1">
      <c r="A316" s="23"/>
      <c r="B316" s="18" t="s">
        <v>258</v>
      </c>
      <c r="C316" s="8" t="s">
        <v>259</v>
      </c>
      <c r="D316" s="8"/>
      <c r="E316" s="8"/>
      <c r="F316" s="8"/>
      <c r="G316" s="8"/>
      <c r="H316" s="8"/>
      <c r="I316" s="8"/>
      <c r="J316" s="8"/>
      <c r="K316" s="8">
        <v>5871</v>
      </c>
      <c r="L316" s="8">
        <v>5280</v>
      </c>
      <c r="M316" s="8">
        <v>0</v>
      </c>
      <c r="N316" s="24">
        <f>L316</f>
        <v>5280</v>
      </c>
      <c r="O316" s="24">
        <v>0</v>
      </c>
      <c r="P316" s="454">
        <f t="shared" si="59"/>
        <v>0.8993357179356157</v>
      </c>
      <c r="Q316" s="292">
        <f t="shared" si="65"/>
        <v>0.00016825978003164808</v>
      </c>
      <c r="R316" s="293">
        <f t="shared" si="66"/>
        <v>0.00016101162137970859</v>
      </c>
    </row>
    <row r="317" spans="1:18" ht="15" customHeight="1">
      <c r="A317" s="23"/>
      <c r="B317" s="18" t="s">
        <v>493</v>
      </c>
      <c r="C317" s="8" t="s">
        <v>494</v>
      </c>
      <c r="D317" s="8"/>
      <c r="E317" s="8">
        <v>3411</v>
      </c>
      <c r="F317" s="8">
        <v>0</v>
      </c>
      <c r="G317" s="8">
        <v>1800</v>
      </c>
      <c r="H317" s="8">
        <v>3500</v>
      </c>
      <c r="I317" s="8">
        <v>0</v>
      </c>
      <c r="J317" s="8">
        <v>0</v>
      </c>
      <c r="K317" s="8">
        <v>4500</v>
      </c>
      <c r="L317" s="8">
        <v>5500</v>
      </c>
      <c r="M317" s="8">
        <v>0</v>
      </c>
      <c r="N317" s="24">
        <f t="shared" si="64"/>
        <v>5500</v>
      </c>
      <c r="O317" s="24">
        <v>0</v>
      </c>
      <c r="P317" s="454">
        <f t="shared" si="59"/>
        <v>1.2222222222222223</v>
      </c>
      <c r="Q317" s="292">
        <f t="shared" si="65"/>
        <v>0.00012896763926799803</v>
      </c>
      <c r="R317" s="293">
        <f t="shared" si="66"/>
        <v>0.00016772043893719643</v>
      </c>
    </row>
    <row r="318" spans="1:18" ht="15" customHeight="1">
      <c r="A318" s="23"/>
      <c r="B318" s="18" t="s">
        <v>415</v>
      </c>
      <c r="C318" s="8" t="s">
        <v>416</v>
      </c>
      <c r="D318" s="8"/>
      <c r="E318" s="8"/>
      <c r="F318" s="8"/>
      <c r="G318" s="8"/>
      <c r="H318" s="8"/>
      <c r="I318" s="8"/>
      <c r="J318" s="8"/>
      <c r="K318" s="8">
        <v>600</v>
      </c>
      <c r="L318" s="8">
        <v>500</v>
      </c>
      <c r="M318" s="8">
        <v>0</v>
      </c>
      <c r="N318" s="24">
        <f>L318</f>
        <v>500</v>
      </c>
      <c r="O318" s="24">
        <v>0</v>
      </c>
      <c r="P318" s="454">
        <f t="shared" si="59"/>
        <v>0.8333333333333334</v>
      </c>
      <c r="Q318" s="292">
        <f t="shared" si="65"/>
        <v>1.719568523573307E-05</v>
      </c>
      <c r="R318" s="293">
        <f t="shared" si="66"/>
        <v>1.5247312630654222E-05</v>
      </c>
    </row>
    <row r="319" spans="1:18" ht="12" customHeight="1">
      <c r="A319" s="23"/>
      <c r="B319" s="18" t="s">
        <v>495</v>
      </c>
      <c r="C319" s="8" t="s">
        <v>496</v>
      </c>
      <c r="D319" s="8"/>
      <c r="E319" s="8">
        <v>5700</v>
      </c>
      <c r="F319" s="8">
        <v>0</v>
      </c>
      <c r="G319" s="8">
        <v>0</v>
      </c>
      <c r="H319" s="20">
        <v>5900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24">
        <f t="shared" si="64"/>
        <v>0</v>
      </c>
      <c r="O319" s="24">
        <v>0</v>
      </c>
      <c r="P319" s="454">
        <v>0</v>
      </c>
      <c r="Q319" s="292">
        <f aca="true" t="shared" si="67" ref="Q319:Q326">K319/$K$662</f>
        <v>0</v>
      </c>
      <c r="R319" s="293">
        <f aca="true" t="shared" si="68" ref="R319:R326">L319/$L$662</f>
        <v>0</v>
      </c>
    </row>
    <row r="320" spans="1:18" ht="12.75" customHeight="1">
      <c r="A320" s="23"/>
      <c r="B320" s="18" t="s">
        <v>497</v>
      </c>
      <c r="C320" s="8" t="s">
        <v>498</v>
      </c>
      <c r="D320" s="8"/>
      <c r="E320" s="8">
        <v>156652</v>
      </c>
      <c r="F320" s="8">
        <v>0</v>
      </c>
      <c r="G320" s="8">
        <v>1550</v>
      </c>
      <c r="H320" s="8">
        <v>123022</v>
      </c>
      <c r="I320" s="8">
        <v>0</v>
      </c>
      <c r="J320" s="8">
        <v>0</v>
      </c>
      <c r="K320" s="8">
        <v>144856</v>
      </c>
      <c r="L320" s="8">
        <v>165996</v>
      </c>
      <c r="M320" s="8">
        <v>0</v>
      </c>
      <c r="N320" s="24">
        <f t="shared" si="64"/>
        <v>165996</v>
      </c>
      <c r="O320" s="24">
        <v>0</v>
      </c>
      <c r="P320" s="454">
        <f t="shared" si="59"/>
        <v>1.1459380350140829</v>
      </c>
      <c r="Q320" s="292">
        <f t="shared" si="67"/>
        <v>0.004151496967512249</v>
      </c>
      <c r="R320" s="293">
        <f t="shared" si="68"/>
        <v>0.005061985814876157</v>
      </c>
    </row>
    <row r="321" spans="1:18" ht="18" customHeight="1" hidden="1">
      <c r="A321" s="23"/>
      <c r="B321" s="18"/>
      <c r="C321" s="8"/>
      <c r="D321" s="8"/>
      <c r="E321" s="8"/>
      <c r="F321" s="8"/>
      <c r="G321" s="8"/>
      <c r="H321" s="8"/>
      <c r="I321" s="8">
        <v>0</v>
      </c>
      <c r="J321" s="8">
        <v>0</v>
      </c>
      <c r="K321" s="8">
        <f>H321+I321-J321</f>
        <v>0</v>
      </c>
      <c r="L321" s="8"/>
      <c r="M321" s="8">
        <v>0</v>
      </c>
      <c r="N321" s="24">
        <f t="shared" si="64"/>
        <v>0</v>
      </c>
      <c r="O321" s="24">
        <v>0</v>
      </c>
      <c r="P321" s="454" t="e">
        <f t="shared" si="59"/>
        <v>#DIV/0!</v>
      </c>
      <c r="Q321" s="292">
        <f t="shared" si="67"/>
        <v>0</v>
      </c>
      <c r="R321" s="293">
        <f t="shared" si="68"/>
        <v>0</v>
      </c>
    </row>
    <row r="322" spans="1:18" ht="15.75" customHeight="1" hidden="1">
      <c r="A322" s="23"/>
      <c r="B322" s="18"/>
      <c r="C322" s="8"/>
      <c r="D322" s="8"/>
      <c r="E322" s="8"/>
      <c r="F322" s="8"/>
      <c r="G322" s="8"/>
      <c r="H322" s="8"/>
      <c r="I322" s="8">
        <v>0</v>
      </c>
      <c r="J322" s="8">
        <v>0</v>
      </c>
      <c r="K322" s="8">
        <f>H322+I322-J322</f>
        <v>0</v>
      </c>
      <c r="L322" s="8"/>
      <c r="M322" s="8">
        <v>0</v>
      </c>
      <c r="N322" s="24">
        <f t="shared" si="64"/>
        <v>0</v>
      </c>
      <c r="O322" s="24">
        <v>0</v>
      </c>
      <c r="P322" s="454" t="e">
        <f t="shared" si="59"/>
        <v>#DIV/0!</v>
      </c>
      <c r="Q322" s="292">
        <f t="shared" si="67"/>
        <v>0</v>
      </c>
      <c r="R322" s="293">
        <f t="shared" si="68"/>
        <v>0</v>
      </c>
    </row>
    <row r="323" spans="1:18" ht="15.75" customHeight="1" hidden="1">
      <c r="A323" s="23"/>
      <c r="B323" s="18"/>
      <c r="C323" s="8"/>
      <c r="D323" s="8"/>
      <c r="E323" s="8"/>
      <c r="F323" s="8"/>
      <c r="G323" s="8"/>
      <c r="H323" s="8"/>
      <c r="I323" s="8">
        <v>0</v>
      </c>
      <c r="J323" s="8">
        <v>0</v>
      </c>
      <c r="K323" s="8">
        <f>H323+I323-J323</f>
        <v>0</v>
      </c>
      <c r="L323" s="8"/>
      <c r="M323" s="8">
        <v>0</v>
      </c>
      <c r="N323" s="24">
        <f t="shared" si="64"/>
        <v>0</v>
      </c>
      <c r="O323" s="24">
        <v>0</v>
      </c>
      <c r="P323" s="454" t="e">
        <f t="shared" si="59"/>
        <v>#DIV/0!</v>
      </c>
      <c r="Q323" s="292">
        <f t="shared" si="67"/>
        <v>0</v>
      </c>
      <c r="R323" s="293">
        <f t="shared" si="68"/>
        <v>0</v>
      </c>
    </row>
    <row r="324" spans="1:18" ht="15.75" customHeight="1" hidden="1">
      <c r="A324" s="23"/>
      <c r="B324" s="18"/>
      <c r="C324" s="8"/>
      <c r="D324" s="8"/>
      <c r="E324" s="8"/>
      <c r="F324" s="8"/>
      <c r="G324" s="8"/>
      <c r="H324" s="8"/>
      <c r="I324" s="8">
        <v>0</v>
      </c>
      <c r="J324" s="8">
        <v>0</v>
      </c>
      <c r="K324" s="8">
        <f>H324+I324-J324</f>
        <v>0</v>
      </c>
      <c r="L324" s="8"/>
      <c r="M324" s="8">
        <v>0</v>
      </c>
      <c r="N324" s="24">
        <f t="shared" si="64"/>
        <v>0</v>
      </c>
      <c r="O324" s="24">
        <v>0</v>
      </c>
      <c r="P324" s="454" t="e">
        <f t="shared" si="59"/>
        <v>#DIV/0!</v>
      </c>
      <c r="Q324" s="292">
        <f t="shared" si="67"/>
        <v>0</v>
      </c>
      <c r="R324" s="293">
        <f t="shared" si="68"/>
        <v>0</v>
      </c>
    </row>
    <row r="325" spans="1:18" ht="16.5" customHeight="1" hidden="1">
      <c r="A325" s="23"/>
      <c r="B325" s="18"/>
      <c r="C325" s="8"/>
      <c r="D325" s="8"/>
      <c r="E325" s="8"/>
      <c r="F325" s="8"/>
      <c r="G325" s="8"/>
      <c r="H325" s="8"/>
      <c r="I325" s="8">
        <v>0</v>
      </c>
      <c r="J325" s="8">
        <v>0</v>
      </c>
      <c r="K325" s="8">
        <f>H325+I325-J325</f>
        <v>0</v>
      </c>
      <c r="L325" s="8"/>
      <c r="M325" s="8">
        <v>0</v>
      </c>
      <c r="N325" s="24">
        <f t="shared" si="64"/>
        <v>0</v>
      </c>
      <c r="O325" s="24">
        <v>0</v>
      </c>
      <c r="P325" s="454" t="e">
        <f t="shared" si="59"/>
        <v>#DIV/0!</v>
      </c>
      <c r="Q325" s="292">
        <f t="shared" si="67"/>
        <v>0</v>
      </c>
      <c r="R325" s="293">
        <f t="shared" si="68"/>
        <v>0</v>
      </c>
    </row>
    <row r="326" spans="1:18" ht="13.5" customHeight="1">
      <c r="A326" s="23"/>
      <c r="B326" s="18" t="s">
        <v>513</v>
      </c>
      <c r="C326" s="8" t="s">
        <v>514</v>
      </c>
      <c r="D326" s="8"/>
      <c r="E326" s="8"/>
      <c r="F326" s="8"/>
      <c r="G326" s="8"/>
      <c r="H326" s="8">
        <v>0</v>
      </c>
      <c r="I326" s="8">
        <v>0</v>
      </c>
      <c r="J326" s="8">
        <v>0</v>
      </c>
      <c r="K326" s="8">
        <v>124</v>
      </c>
      <c r="L326" s="8">
        <v>150</v>
      </c>
      <c r="M326" s="8">
        <v>0</v>
      </c>
      <c r="N326" s="24">
        <f t="shared" si="64"/>
        <v>150</v>
      </c>
      <c r="O326" s="24">
        <v>0</v>
      </c>
      <c r="P326" s="454">
        <f t="shared" si="59"/>
        <v>1.2096774193548387</v>
      </c>
      <c r="Q326" s="292">
        <f t="shared" si="67"/>
        <v>3.553774948718168E-06</v>
      </c>
      <c r="R326" s="293">
        <f t="shared" si="68"/>
        <v>4.574193789196266E-06</v>
      </c>
    </row>
    <row r="327" spans="1:18" ht="13.5" customHeight="1">
      <c r="A327" s="23"/>
      <c r="B327" s="18" t="s">
        <v>286</v>
      </c>
      <c r="C327" s="8" t="s">
        <v>830</v>
      </c>
      <c r="D327" s="8"/>
      <c r="E327" s="8"/>
      <c r="F327" s="8"/>
      <c r="G327" s="8"/>
      <c r="H327" s="8"/>
      <c r="I327" s="8"/>
      <c r="J327" s="8"/>
      <c r="K327" s="8">
        <v>1000</v>
      </c>
      <c r="L327" s="8">
        <v>3710</v>
      </c>
      <c r="M327" s="8">
        <v>0</v>
      </c>
      <c r="N327" s="24">
        <f>L327</f>
        <v>3710</v>
      </c>
      <c r="O327" s="24">
        <v>0</v>
      </c>
      <c r="P327" s="454">
        <f t="shared" si="59"/>
        <v>3.71</v>
      </c>
      <c r="Q327" s="292">
        <f aca="true" t="shared" si="69" ref="Q327:Q358">K327/$K$662</f>
        <v>2.865947539288845E-05</v>
      </c>
      <c r="R327" s="293">
        <f aca="true" t="shared" si="70" ref="R327:R358">L327/$L$662</f>
        <v>0.00011313505971945432</v>
      </c>
    </row>
    <row r="328" spans="1:18" ht="15" customHeight="1">
      <c r="A328" s="23"/>
      <c r="B328" s="18" t="s">
        <v>515</v>
      </c>
      <c r="C328" s="11" t="s">
        <v>641</v>
      </c>
      <c r="D328" s="8"/>
      <c r="E328" s="8">
        <v>654061</v>
      </c>
      <c r="F328" s="8">
        <v>0</v>
      </c>
      <c r="G328" s="8">
        <v>0</v>
      </c>
      <c r="H328" s="8">
        <v>1886648</v>
      </c>
      <c r="I328" s="8">
        <v>0</v>
      </c>
      <c r="J328" s="8">
        <v>0</v>
      </c>
      <c r="K328" s="8">
        <v>70000</v>
      </c>
      <c r="L328" s="8">
        <v>0</v>
      </c>
      <c r="M328" s="8">
        <v>0</v>
      </c>
      <c r="N328" s="24">
        <f>L328</f>
        <v>0</v>
      </c>
      <c r="O328" s="24">
        <v>0</v>
      </c>
      <c r="P328" s="454">
        <f t="shared" si="59"/>
        <v>0</v>
      </c>
      <c r="Q328" s="292">
        <f t="shared" si="69"/>
        <v>0.0020061632775021914</v>
      </c>
      <c r="R328" s="293">
        <f t="shared" si="70"/>
        <v>0</v>
      </c>
    </row>
    <row r="329" spans="1:18" ht="14.25" customHeight="1">
      <c r="A329" s="23"/>
      <c r="B329" s="18" t="s">
        <v>627</v>
      </c>
      <c r="C329" s="249" t="s">
        <v>646</v>
      </c>
      <c r="D329" s="8">
        <v>0</v>
      </c>
      <c r="E329" s="8">
        <v>257318</v>
      </c>
      <c r="F329" s="8">
        <v>0</v>
      </c>
      <c r="G329" s="8">
        <v>74165</v>
      </c>
      <c r="H329" s="8">
        <f>H330+H331+H332</f>
        <v>339218</v>
      </c>
      <c r="I329" s="8">
        <v>0</v>
      </c>
      <c r="J329" s="8">
        <v>0</v>
      </c>
      <c r="K329" s="8">
        <v>131878</v>
      </c>
      <c r="L329" s="8">
        <f>L330+L331+L332</f>
        <v>103500</v>
      </c>
      <c r="M329" s="8">
        <f>M330+M331+M332</f>
        <v>0</v>
      </c>
      <c r="N329" s="24">
        <f t="shared" si="64"/>
        <v>103500</v>
      </c>
      <c r="O329" s="8">
        <f>O330+O331+O332</f>
        <v>0</v>
      </c>
      <c r="P329" s="454">
        <f t="shared" si="59"/>
        <v>0.784816269582493</v>
      </c>
      <c r="Q329" s="292">
        <f t="shared" si="69"/>
        <v>0.003779554295863343</v>
      </c>
      <c r="R329" s="293">
        <f t="shared" si="70"/>
        <v>0.003156193714545424</v>
      </c>
    </row>
    <row r="330" spans="1:18" ht="13.5" customHeight="1">
      <c r="A330" s="23"/>
      <c r="B330" s="18"/>
      <c r="C330" s="11" t="s">
        <v>638</v>
      </c>
      <c r="D330" s="8"/>
      <c r="E330" s="8"/>
      <c r="F330" s="8"/>
      <c r="G330" s="8"/>
      <c r="H330" s="8">
        <v>227897</v>
      </c>
      <c r="I330" s="8">
        <v>0</v>
      </c>
      <c r="J330" s="8">
        <v>0</v>
      </c>
      <c r="K330" s="8">
        <v>84481</v>
      </c>
      <c r="L330" s="8">
        <v>70380</v>
      </c>
      <c r="M330" s="8">
        <v>0</v>
      </c>
      <c r="N330" s="24">
        <f t="shared" si="64"/>
        <v>70380</v>
      </c>
      <c r="O330" s="24">
        <v>0</v>
      </c>
      <c r="P330" s="454">
        <f t="shared" si="59"/>
        <v>0.8330867295604929</v>
      </c>
      <c r="Q330" s="292">
        <f t="shared" si="69"/>
        <v>0.002421181140666609</v>
      </c>
      <c r="R330" s="293">
        <f t="shared" si="70"/>
        <v>0.0021462117258908885</v>
      </c>
    </row>
    <row r="331" spans="1:18" ht="14.25" customHeight="1">
      <c r="A331" s="23"/>
      <c r="B331" s="18"/>
      <c r="C331" s="11" t="s">
        <v>640</v>
      </c>
      <c r="D331" s="8"/>
      <c r="E331" s="8"/>
      <c r="F331" s="8"/>
      <c r="G331" s="8"/>
      <c r="H331" s="8">
        <v>98014</v>
      </c>
      <c r="I331" s="8">
        <v>0</v>
      </c>
      <c r="J331" s="8">
        <v>0</v>
      </c>
      <c r="K331" s="8">
        <v>31679</v>
      </c>
      <c r="L331" s="8">
        <v>33120</v>
      </c>
      <c r="M331" s="8">
        <v>0</v>
      </c>
      <c r="N331" s="24">
        <f t="shared" si="64"/>
        <v>33120</v>
      </c>
      <c r="O331" s="24">
        <v>0</v>
      </c>
      <c r="P331" s="454">
        <f aca="true" t="shared" si="71" ref="P331:P392">L331/K331</f>
        <v>1.0454875469553964</v>
      </c>
      <c r="Q331" s="292">
        <f t="shared" si="69"/>
        <v>0.0009079035209713132</v>
      </c>
      <c r="R331" s="293">
        <f t="shared" si="70"/>
        <v>0.0010099819886545357</v>
      </c>
    </row>
    <row r="332" spans="1:18" ht="13.5" customHeight="1" hidden="1">
      <c r="A332" s="23"/>
      <c r="B332" s="18"/>
      <c r="C332" s="8" t="s">
        <v>639</v>
      </c>
      <c r="D332" s="8"/>
      <c r="E332" s="8"/>
      <c r="F332" s="8"/>
      <c r="G332" s="8"/>
      <c r="H332" s="8">
        <v>13307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24">
        <f t="shared" si="64"/>
        <v>0</v>
      </c>
      <c r="O332" s="24">
        <v>0</v>
      </c>
      <c r="P332" s="454" t="e">
        <f t="shared" si="71"/>
        <v>#DIV/0!</v>
      </c>
      <c r="Q332" s="292">
        <f t="shared" si="69"/>
        <v>0</v>
      </c>
      <c r="R332" s="293">
        <f t="shared" si="70"/>
        <v>0</v>
      </c>
    </row>
    <row r="333" spans="1:18" ht="39.75" customHeight="1" hidden="1">
      <c r="A333" s="23"/>
      <c r="B333" s="18"/>
      <c r="C333" s="11" t="s">
        <v>628</v>
      </c>
      <c r="D333" s="8"/>
      <c r="E333" s="8"/>
      <c r="F333" s="8"/>
      <c r="G333" s="8"/>
      <c r="H333" s="8">
        <v>0</v>
      </c>
      <c r="I333" s="8">
        <v>0</v>
      </c>
      <c r="J333" s="8">
        <v>0</v>
      </c>
      <c r="K333" s="8">
        <f>H333+I333-J333</f>
        <v>0</v>
      </c>
      <c r="L333" s="8"/>
      <c r="M333" s="8">
        <v>0</v>
      </c>
      <c r="N333" s="24">
        <f t="shared" si="64"/>
        <v>0</v>
      </c>
      <c r="O333" s="24">
        <v>0</v>
      </c>
      <c r="P333" s="454" t="e">
        <f t="shared" si="71"/>
        <v>#DIV/0!</v>
      </c>
      <c r="Q333" s="292">
        <f t="shared" si="69"/>
        <v>0</v>
      </c>
      <c r="R333" s="293">
        <f t="shared" si="70"/>
        <v>0</v>
      </c>
    </row>
    <row r="334" spans="1:18" ht="22.5" customHeight="1" hidden="1">
      <c r="A334" s="26" t="s">
        <v>647</v>
      </c>
      <c r="B334" s="27"/>
      <c r="C334" s="7" t="s">
        <v>648</v>
      </c>
      <c r="D334" s="7" t="e">
        <f>D335+D336+D337+D340+D349+D351+#REF!</f>
        <v>#REF!</v>
      </c>
      <c r="E334" s="7">
        <f>E335+E336+E337+E338+E339+E340+E341+E342+E343+E344+E345+E346+E347+E348+E349+E351</f>
        <v>2163559</v>
      </c>
      <c r="F334" s="7">
        <f>F335+F336+F337+F338+F339+F340+F341+F342+F343+F344+F345+F346+F347+F348+F349+F351</f>
        <v>0</v>
      </c>
      <c r="G334" s="7">
        <f>G335+G336+G337+G338+G339+G340+G341+G342+G343+G344+G345+G346+G347+G348+G349+G351</f>
        <v>0</v>
      </c>
      <c r="H334" s="8"/>
      <c r="I334" s="8"/>
      <c r="J334" s="8"/>
      <c r="K334" s="8"/>
      <c r="L334" s="8"/>
      <c r="M334" s="8">
        <v>0</v>
      </c>
      <c r="N334" s="24">
        <f aca="true" t="shared" si="72" ref="N334:N354">K334</f>
        <v>0</v>
      </c>
      <c r="O334" s="24">
        <v>0</v>
      </c>
      <c r="P334" s="454" t="e">
        <f t="shared" si="71"/>
        <v>#DIV/0!</v>
      </c>
      <c r="Q334" s="292">
        <f t="shared" si="69"/>
        <v>0</v>
      </c>
      <c r="R334" s="293">
        <f t="shared" si="70"/>
        <v>0</v>
      </c>
    </row>
    <row r="335" spans="1:18" ht="21.75" customHeight="1" hidden="1">
      <c r="A335" s="26"/>
      <c r="B335" s="18" t="s">
        <v>475</v>
      </c>
      <c r="C335" s="11" t="s">
        <v>476</v>
      </c>
      <c r="D335" s="8">
        <v>2340654</v>
      </c>
      <c r="E335" s="8">
        <v>1129188</v>
      </c>
      <c r="F335" s="8">
        <v>0</v>
      </c>
      <c r="G335" s="8">
        <v>0</v>
      </c>
      <c r="H335" s="8"/>
      <c r="I335" s="8"/>
      <c r="J335" s="8"/>
      <c r="K335" s="8"/>
      <c r="L335" s="8"/>
      <c r="M335" s="8">
        <v>0</v>
      </c>
      <c r="N335" s="24">
        <f t="shared" si="72"/>
        <v>0</v>
      </c>
      <c r="O335" s="24">
        <v>0</v>
      </c>
      <c r="P335" s="454" t="e">
        <f t="shared" si="71"/>
        <v>#DIV/0!</v>
      </c>
      <c r="Q335" s="292">
        <f t="shared" si="69"/>
        <v>0</v>
      </c>
      <c r="R335" s="293">
        <f t="shared" si="70"/>
        <v>0</v>
      </c>
    </row>
    <row r="336" spans="1:18" ht="21.75" customHeight="1" hidden="1">
      <c r="A336" s="26"/>
      <c r="B336" s="18" t="s">
        <v>479</v>
      </c>
      <c r="C336" s="11" t="s">
        <v>480</v>
      </c>
      <c r="D336" s="8">
        <v>166280</v>
      </c>
      <c r="E336" s="8">
        <v>211716</v>
      </c>
      <c r="F336" s="8">
        <v>0</v>
      </c>
      <c r="G336" s="8">
        <v>0</v>
      </c>
      <c r="H336" s="8"/>
      <c r="I336" s="8"/>
      <c r="J336" s="8"/>
      <c r="K336" s="8"/>
      <c r="L336" s="8"/>
      <c r="M336" s="8">
        <v>0</v>
      </c>
      <c r="N336" s="24">
        <f t="shared" si="72"/>
        <v>0</v>
      </c>
      <c r="O336" s="24">
        <v>0</v>
      </c>
      <c r="P336" s="454" t="e">
        <f t="shared" si="71"/>
        <v>#DIV/0!</v>
      </c>
      <c r="Q336" s="292">
        <f t="shared" si="69"/>
        <v>0</v>
      </c>
      <c r="R336" s="293">
        <f t="shared" si="70"/>
        <v>0</v>
      </c>
    </row>
    <row r="337" spans="1:18" ht="20.25" customHeight="1" hidden="1">
      <c r="A337" s="26"/>
      <c r="B337" s="25" t="s">
        <v>532</v>
      </c>
      <c r="C337" s="11" t="s">
        <v>554</v>
      </c>
      <c r="D337" s="8">
        <v>456367</v>
      </c>
      <c r="E337" s="8">
        <v>235109</v>
      </c>
      <c r="F337" s="8">
        <v>0</v>
      </c>
      <c r="G337" s="8">
        <v>0</v>
      </c>
      <c r="H337" s="8"/>
      <c r="I337" s="8"/>
      <c r="J337" s="8"/>
      <c r="K337" s="8"/>
      <c r="L337" s="8"/>
      <c r="M337" s="8">
        <v>0</v>
      </c>
      <c r="N337" s="24">
        <f t="shared" si="72"/>
        <v>0</v>
      </c>
      <c r="O337" s="24">
        <v>0</v>
      </c>
      <c r="P337" s="454" t="e">
        <f t="shared" si="71"/>
        <v>#DIV/0!</v>
      </c>
      <c r="Q337" s="292">
        <f t="shared" si="69"/>
        <v>0</v>
      </c>
      <c r="R337" s="293">
        <f t="shared" si="70"/>
        <v>0</v>
      </c>
    </row>
    <row r="338" spans="1:18" ht="22.5" customHeight="1" hidden="1">
      <c r="A338" s="26"/>
      <c r="B338" s="25" t="s">
        <v>483</v>
      </c>
      <c r="C338" s="11" t="s">
        <v>484</v>
      </c>
      <c r="D338" s="8"/>
      <c r="E338" s="8">
        <v>33406</v>
      </c>
      <c r="F338" s="8">
        <v>0</v>
      </c>
      <c r="G338" s="8">
        <v>0</v>
      </c>
      <c r="H338" s="20"/>
      <c r="I338" s="20"/>
      <c r="J338" s="20"/>
      <c r="K338" s="20"/>
      <c r="L338" s="20"/>
      <c r="M338" s="8">
        <v>0</v>
      </c>
      <c r="N338" s="24">
        <f t="shared" si="72"/>
        <v>0</v>
      </c>
      <c r="O338" s="24">
        <v>0</v>
      </c>
      <c r="P338" s="454" t="e">
        <f t="shared" si="71"/>
        <v>#DIV/0!</v>
      </c>
      <c r="Q338" s="292">
        <f t="shared" si="69"/>
        <v>0</v>
      </c>
      <c r="R338" s="293">
        <f t="shared" si="70"/>
        <v>0</v>
      </c>
    </row>
    <row r="339" spans="1:18" ht="20.25" customHeight="1" hidden="1">
      <c r="A339" s="26"/>
      <c r="B339" s="25"/>
      <c r="C339" s="11" t="s">
        <v>523</v>
      </c>
      <c r="D339" s="8"/>
      <c r="E339" s="8">
        <v>1420</v>
      </c>
      <c r="F339" s="8">
        <v>0</v>
      </c>
      <c r="G339" s="8">
        <v>0</v>
      </c>
      <c r="H339" s="8"/>
      <c r="I339" s="8"/>
      <c r="J339" s="8"/>
      <c r="K339" s="8"/>
      <c r="L339" s="8"/>
      <c r="M339" s="8">
        <v>0</v>
      </c>
      <c r="N339" s="24">
        <f t="shared" si="72"/>
        <v>0</v>
      </c>
      <c r="O339" s="24">
        <v>0</v>
      </c>
      <c r="P339" s="454" t="e">
        <f t="shared" si="71"/>
        <v>#DIV/0!</v>
      </c>
      <c r="Q339" s="292">
        <f t="shared" si="69"/>
        <v>0</v>
      </c>
      <c r="R339" s="293">
        <f t="shared" si="70"/>
        <v>0</v>
      </c>
    </row>
    <row r="340" spans="1:18" ht="18.75" customHeight="1" hidden="1">
      <c r="A340" s="26"/>
      <c r="B340" s="18" t="s">
        <v>461</v>
      </c>
      <c r="C340" s="8" t="s">
        <v>511</v>
      </c>
      <c r="D340" s="8">
        <v>637711</v>
      </c>
      <c r="E340" s="8">
        <v>1892</v>
      </c>
      <c r="F340" s="8">
        <v>0</v>
      </c>
      <c r="G340" s="8">
        <v>0</v>
      </c>
      <c r="H340" s="8"/>
      <c r="I340" s="8"/>
      <c r="J340" s="8"/>
      <c r="K340" s="8"/>
      <c r="L340" s="8"/>
      <c r="M340" s="8">
        <v>0</v>
      </c>
      <c r="N340" s="24">
        <f t="shared" si="72"/>
        <v>0</v>
      </c>
      <c r="O340" s="24">
        <v>0</v>
      </c>
      <c r="P340" s="454" t="e">
        <f t="shared" si="71"/>
        <v>#DIV/0!</v>
      </c>
      <c r="Q340" s="292">
        <f t="shared" si="69"/>
        <v>0</v>
      </c>
      <c r="R340" s="293">
        <f t="shared" si="70"/>
        <v>0</v>
      </c>
    </row>
    <row r="341" spans="1:18" ht="18" customHeight="1" hidden="1">
      <c r="A341" s="26"/>
      <c r="B341" s="18" t="s">
        <v>485</v>
      </c>
      <c r="C341" s="8" t="s">
        <v>512</v>
      </c>
      <c r="D341" s="8"/>
      <c r="E341" s="8">
        <v>196582</v>
      </c>
      <c r="F341" s="8">
        <v>0</v>
      </c>
      <c r="G341" s="8">
        <v>0</v>
      </c>
      <c r="H341" s="8"/>
      <c r="I341" s="8"/>
      <c r="J341" s="8"/>
      <c r="K341" s="8"/>
      <c r="L341" s="8"/>
      <c r="M341" s="8">
        <v>0</v>
      </c>
      <c r="N341" s="24">
        <f t="shared" si="72"/>
        <v>0</v>
      </c>
      <c r="O341" s="24">
        <v>0</v>
      </c>
      <c r="P341" s="454" t="e">
        <f t="shared" si="71"/>
        <v>#DIV/0!</v>
      </c>
      <c r="Q341" s="292">
        <f t="shared" si="69"/>
        <v>0</v>
      </c>
      <c r="R341" s="293">
        <f t="shared" si="70"/>
        <v>0</v>
      </c>
    </row>
    <row r="342" spans="1:18" ht="18.75" customHeight="1" hidden="1">
      <c r="A342" s="26"/>
      <c r="B342" s="18" t="s">
        <v>624</v>
      </c>
      <c r="C342" s="8" t="s">
        <v>649</v>
      </c>
      <c r="D342" s="8"/>
      <c r="E342" s="8">
        <v>2294</v>
      </c>
      <c r="F342" s="8">
        <v>0</v>
      </c>
      <c r="G342" s="8">
        <v>0</v>
      </c>
      <c r="H342" s="7"/>
      <c r="I342" s="7"/>
      <c r="J342" s="7"/>
      <c r="K342" s="7"/>
      <c r="L342" s="7"/>
      <c r="M342" s="8">
        <v>0</v>
      </c>
      <c r="N342" s="24">
        <f t="shared" si="72"/>
        <v>0</v>
      </c>
      <c r="O342" s="24">
        <v>0</v>
      </c>
      <c r="P342" s="454" t="e">
        <f t="shared" si="71"/>
        <v>#DIV/0!</v>
      </c>
      <c r="Q342" s="292">
        <f t="shared" si="69"/>
        <v>0</v>
      </c>
      <c r="R342" s="293">
        <f t="shared" si="70"/>
        <v>0</v>
      </c>
    </row>
    <row r="343" spans="1:18" ht="18" customHeight="1" hidden="1">
      <c r="A343" s="26"/>
      <c r="B343" s="18" t="s">
        <v>487</v>
      </c>
      <c r="C343" s="8" t="s">
        <v>488</v>
      </c>
      <c r="D343" s="8"/>
      <c r="E343" s="8">
        <v>41877</v>
      </c>
      <c r="F343" s="8">
        <v>0</v>
      </c>
      <c r="G343" s="8">
        <v>0</v>
      </c>
      <c r="H343" s="8"/>
      <c r="I343" s="8"/>
      <c r="J343" s="8"/>
      <c r="K343" s="8"/>
      <c r="L343" s="8"/>
      <c r="M343" s="8">
        <v>0</v>
      </c>
      <c r="N343" s="24">
        <f t="shared" si="72"/>
        <v>0</v>
      </c>
      <c r="O343" s="24">
        <v>0</v>
      </c>
      <c r="P343" s="454" t="e">
        <f t="shared" si="71"/>
        <v>#DIV/0!</v>
      </c>
      <c r="Q343" s="292">
        <f t="shared" si="69"/>
        <v>0</v>
      </c>
      <c r="R343" s="293">
        <f t="shared" si="70"/>
        <v>0</v>
      </c>
    </row>
    <row r="344" spans="1:18" ht="18.75" customHeight="1" hidden="1">
      <c r="A344" s="26"/>
      <c r="B344" s="18" t="s">
        <v>489</v>
      </c>
      <c r="C344" s="8" t="s">
        <v>490</v>
      </c>
      <c r="D344" s="8"/>
      <c r="E344" s="8">
        <v>2075</v>
      </c>
      <c r="F344" s="8">
        <v>0</v>
      </c>
      <c r="G344" s="8">
        <v>0</v>
      </c>
      <c r="H344" s="8"/>
      <c r="I344" s="8"/>
      <c r="J344" s="8"/>
      <c r="K344" s="8"/>
      <c r="L344" s="8"/>
      <c r="M344" s="8">
        <v>0</v>
      </c>
      <c r="N344" s="24">
        <f t="shared" si="72"/>
        <v>0</v>
      </c>
      <c r="O344" s="24">
        <v>0</v>
      </c>
      <c r="P344" s="454" t="e">
        <f t="shared" si="71"/>
        <v>#DIV/0!</v>
      </c>
      <c r="Q344" s="292">
        <f t="shared" si="69"/>
        <v>0</v>
      </c>
      <c r="R344" s="293">
        <f t="shared" si="70"/>
        <v>0</v>
      </c>
    </row>
    <row r="345" spans="1:18" ht="18.75" customHeight="1" hidden="1">
      <c r="A345" s="26"/>
      <c r="B345" s="18" t="s">
        <v>491</v>
      </c>
      <c r="C345" s="8" t="s">
        <v>492</v>
      </c>
      <c r="D345" s="8"/>
      <c r="E345" s="8">
        <v>31387</v>
      </c>
      <c r="F345" s="8">
        <v>0</v>
      </c>
      <c r="G345" s="8">
        <v>0</v>
      </c>
      <c r="H345" s="8"/>
      <c r="I345" s="8"/>
      <c r="J345" s="8"/>
      <c r="K345" s="8"/>
      <c r="L345" s="8"/>
      <c r="M345" s="8">
        <v>0</v>
      </c>
      <c r="N345" s="24">
        <f t="shared" si="72"/>
        <v>0</v>
      </c>
      <c r="O345" s="24">
        <v>0</v>
      </c>
      <c r="P345" s="454" t="e">
        <f t="shared" si="71"/>
        <v>#DIV/0!</v>
      </c>
      <c r="Q345" s="292">
        <f t="shared" si="69"/>
        <v>0</v>
      </c>
      <c r="R345" s="293">
        <f t="shared" si="70"/>
        <v>0</v>
      </c>
    </row>
    <row r="346" spans="1:18" ht="18.75" customHeight="1" hidden="1">
      <c r="A346" s="26"/>
      <c r="B346" s="18" t="s">
        <v>493</v>
      </c>
      <c r="C346" s="8" t="s">
        <v>650</v>
      </c>
      <c r="D346" s="8"/>
      <c r="E346" s="8">
        <v>3189</v>
      </c>
      <c r="F346" s="8">
        <v>0</v>
      </c>
      <c r="G346" s="8">
        <v>0</v>
      </c>
      <c r="H346" s="8"/>
      <c r="I346" s="8"/>
      <c r="J346" s="8"/>
      <c r="K346" s="8"/>
      <c r="L346" s="8"/>
      <c r="M346" s="8">
        <v>0</v>
      </c>
      <c r="N346" s="24">
        <f t="shared" si="72"/>
        <v>0</v>
      </c>
      <c r="O346" s="24">
        <v>0</v>
      </c>
      <c r="P346" s="454" t="e">
        <f t="shared" si="71"/>
        <v>#DIV/0!</v>
      </c>
      <c r="Q346" s="292">
        <f t="shared" si="69"/>
        <v>0</v>
      </c>
      <c r="R346" s="293">
        <f t="shared" si="70"/>
        <v>0</v>
      </c>
    </row>
    <row r="347" spans="1:18" ht="18" customHeight="1" hidden="1">
      <c r="A347" s="26"/>
      <c r="B347" s="18" t="s">
        <v>495</v>
      </c>
      <c r="C347" s="8" t="s">
        <v>652</v>
      </c>
      <c r="D347" s="8"/>
      <c r="E347" s="8">
        <v>0</v>
      </c>
      <c r="F347" s="8">
        <v>0</v>
      </c>
      <c r="G347" s="8">
        <v>0</v>
      </c>
      <c r="H347" s="8"/>
      <c r="I347" s="8"/>
      <c r="J347" s="8"/>
      <c r="K347" s="8"/>
      <c r="L347" s="8"/>
      <c r="M347" s="8">
        <v>0</v>
      </c>
      <c r="N347" s="24">
        <f t="shared" si="72"/>
        <v>0</v>
      </c>
      <c r="O347" s="24">
        <v>0</v>
      </c>
      <c r="P347" s="454" t="e">
        <f t="shared" si="71"/>
        <v>#DIV/0!</v>
      </c>
      <c r="Q347" s="292">
        <f t="shared" si="69"/>
        <v>0</v>
      </c>
      <c r="R347" s="293">
        <f t="shared" si="70"/>
        <v>0</v>
      </c>
    </row>
    <row r="348" spans="1:18" ht="18" customHeight="1" hidden="1">
      <c r="A348" s="26"/>
      <c r="B348" s="18" t="s">
        <v>497</v>
      </c>
      <c r="C348" s="8" t="s">
        <v>653</v>
      </c>
      <c r="D348" s="8"/>
      <c r="E348" s="8">
        <v>86736</v>
      </c>
      <c r="F348" s="8">
        <v>0</v>
      </c>
      <c r="G348" s="8">
        <v>0</v>
      </c>
      <c r="H348" s="8"/>
      <c r="I348" s="8"/>
      <c r="J348" s="8"/>
      <c r="K348" s="8"/>
      <c r="L348" s="8"/>
      <c r="M348" s="8">
        <v>0</v>
      </c>
      <c r="N348" s="24">
        <f t="shared" si="72"/>
        <v>0</v>
      </c>
      <c r="O348" s="24">
        <v>0</v>
      </c>
      <c r="P348" s="454" t="e">
        <f t="shared" si="71"/>
        <v>#DIV/0!</v>
      </c>
      <c r="Q348" s="292">
        <f t="shared" si="69"/>
        <v>0</v>
      </c>
      <c r="R348" s="293">
        <f t="shared" si="70"/>
        <v>0</v>
      </c>
    </row>
    <row r="349" spans="1:18" ht="18" customHeight="1" hidden="1">
      <c r="A349" s="26"/>
      <c r="B349" s="18" t="s">
        <v>627</v>
      </c>
      <c r="C349" s="11" t="s">
        <v>654</v>
      </c>
      <c r="D349" s="8">
        <f>D350</f>
        <v>496267</v>
      </c>
      <c r="E349" s="20">
        <v>136749</v>
      </c>
      <c r="F349" s="20">
        <f>F350</f>
        <v>0</v>
      </c>
      <c r="G349" s="20">
        <v>0</v>
      </c>
      <c r="H349" s="8"/>
      <c r="I349" s="8"/>
      <c r="J349" s="8"/>
      <c r="K349" s="8"/>
      <c r="L349" s="8"/>
      <c r="M349" s="8">
        <v>0</v>
      </c>
      <c r="N349" s="24">
        <f t="shared" si="72"/>
        <v>0</v>
      </c>
      <c r="O349" s="24">
        <v>0</v>
      </c>
      <c r="P349" s="454" t="e">
        <f t="shared" si="71"/>
        <v>#DIV/0!</v>
      </c>
      <c r="Q349" s="292">
        <f t="shared" si="69"/>
        <v>0</v>
      </c>
      <c r="R349" s="293">
        <f t="shared" si="70"/>
        <v>0</v>
      </c>
    </row>
    <row r="350" spans="1:18" ht="17.25" customHeight="1" hidden="1">
      <c r="A350" s="26"/>
      <c r="B350" s="18"/>
      <c r="C350" s="8" t="s">
        <v>638</v>
      </c>
      <c r="D350" s="8">
        <v>496267</v>
      </c>
      <c r="E350" s="8">
        <v>136749</v>
      </c>
      <c r="F350" s="8">
        <v>0</v>
      </c>
      <c r="G350" s="8">
        <v>0</v>
      </c>
      <c r="H350" s="8"/>
      <c r="I350" s="8"/>
      <c r="J350" s="8"/>
      <c r="K350" s="8"/>
      <c r="L350" s="8"/>
      <c r="M350" s="8">
        <v>0</v>
      </c>
      <c r="N350" s="24">
        <f t="shared" si="72"/>
        <v>0</v>
      </c>
      <c r="O350" s="24">
        <v>0</v>
      </c>
      <c r="P350" s="454" t="e">
        <f t="shared" si="71"/>
        <v>#DIV/0!</v>
      </c>
      <c r="Q350" s="292">
        <f t="shared" si="69"/>
        <v>0</v>
      </c>
      <c r="R350" s="293">
        <f t="shared" si="70"/>
        <v>0</v>
      </c>
    </row>
    <row r="351" spans="1:18" ht="13.5" customHeight="1" hidden="1">
      <c r="A351" s="26"/>
      <c r="B351" s="18" t="s">
        <v>515</v>
      </c>
      <c r="C351" s="8" t="s">
        <v>641</v>
      </c>
      <c r="D351" s="8">
        <v>55041</v>
      </c>
      <c r="E351" s="8">
        <v>49939</v>
      </c>
      <c r="F351" s="8">
        <v>0</v>
      </c>
      <c r="G351" s="8">
        <v>0</v>
      </c>
      <c r="H351" s="8"/>
      <c r="I351" s="8"/>
      <c r="J351" s="8"/>
      <c r="K351" s="8"/>
      <c r="L351" s="8"/>
      <c r="M351" s="8">
        <v>0</v>
      </c>
      <c r="N351" s="24">
        <f t="shared" si="72"/>
        <v>0</v>
      </c>
      <c r="O351" s="24">
        <v>0</v>
      </c>
      <c r="P351" s="454" t="e">
        <f t="shared" si="71"/>
        <v>#DIV/0!</v>
      </c>
      <c r="Q351" s="292">
        <f t="shared" si="69"/>
        <v>0</v>
      </c>
      <c r="R351" s="293">
        <f t="shared" si="70"/>
        <v>0</v>
      </c>
    </row>
    <row r="352" spans="1:18" ht="14.25" customHeight="1" hidden="1">
      <c r="A352" s="26"/>
      <c r="B352" s="18" t="s">
        <v>655</v>
      </c>
      <c r="C352" s="11" t="s">
        <v>656</v>
      </c>
      <c r="D352" s="8"/>
      <c r="E352" s="8">
        <v>0</v>
      </c>
      <c r="F352" s="8">
        <v>0</v>
      </c>
      <c r="G352" s="8">
        <v>0</v>
      </c>
      <c r="H352" s="8"/>
      <c r="I352" s="8"/>
      <c r="J352" s="8"/>
      <c r="K352" s="8"/>
      <c r="L352" s="8"/>
      <c r="M352" s="8">
        <v>0</v>
      </c>
      <c r="N352" s="24">
        <f t="shared" si="72"/>
        <v>0</v>
      </c>
      <c r="O352" s="24">
        <v>0</v>
      </c>
      <c r="P352" s="454" t="e">
        <f t="shared" si="71"/>
        <v>#DIV/0!</v>
      </c>
      <c r="Q352" s="292">
        <f t="shared" si="69"/>
        <v>0</v>
      </c>
      <c r="R352" s="293">
        <f t="shared" si="70"/>
        <v>0</v>
      </c>
    </row>
    <row r="353" spans="1:18" ht="17.25" customHeight="1" hidden="1">
      <c r="A353" s="26"/>
      <c r="B353" s="18" t="s">
        <v>606</v>
      </c>
      <c r="C353" s="11" t="s">
        <v>301</v>
      </c>
      <c r="D353" s="8"/>
      <c r="E353" s="8"/>
      <c r="F353" s="8"/>
      <c r="G353" s="8"/>
      <c r="H353" s="8">
        <v>0</v>
      </c>
      <c r="I353" s="8">
        <v>0</v>
      </c>
      <c r="J353" s="8">
        <v>0</v>
      </c>
      <c r="K353" s="8">
        <v>0</v>
      </c>
      <c r="L353" s="8"/>
      <c r="M353" s="8">
        <v>0</v>
      </c>
      <c r="N353" s="24">
        <f t="shared" si="72"/>
        <v>0</v>
      </c>
      <c r="O353" s="24">
        <v>0</v>
      </c>
      <c r="P353" s="454" t="e">
        <f t="shared" si="71"/>
        <v>#DIV/0!</v>
      </c>
      <c r="Q353" s="292">
        <f t="shared" si="69"/>
        <v>0</v>
      </c>
      <c r="R353" s="293">
        <f t="shared" si="70"/>
        <v>0</v>
      </c>
    </row>
    <row r="354" spans="1:18" ht="17.25" customHeight="1" hidden="1">
      <c r="A354" s="26"/>
      <c r="B354" s="18" t="s">
        <v>491</v>
      </c>
      <c r="C354" s="11" t="s">
        <v>586</v>
      </c>
      <c r="D354" s="8"/>
      <c r="E354" s="8"/>
      <c r="F354" s="8"/>
      <c r="G354" s="8"/>
      <c r="H354" s="8">
        <v>0</v>
      </c>
      <c r="I354" s="8">
        <v>0</v>
      </c>
      <c r="J354" s="8">
        <v>0</v>
      </c>
      <c r="K354" s="8">
        <v>0</v>
      </c>
      <c r="L354" s="8"/>
      <c r="M354" s="8">
        <v>0</v>
      </c>
      <c r="N354" s="24">
        <f t="shared" si="72"/>
        <v>0</v>
      </c>
      <c r="O354" s="24">
        <v>0</v>
      </c>
      <c r="P354" s="454" t="e">
        <f t="shared" si="71"/>
        <v>#DIV/0!</v>
      </c>
      <c r="Q354" s="292">
        <f t="shared" si="69"/>
        <v>0</v>
      </c>
      <c r="R354" s="293">
        <f t="shared" si="70"/>
        <v>0</v>
      </c>
    </row>
    <row r="355" spans="1:18" ht="26.25" customHeight="1" hidden="1">
      <c r="A355" s="17" t="s">
        <v>657</v>
      </c>
      <c r="B355" s="18"/>
      <c r="C355" s="4" t="s">
        <v>658</v>
      </c>
      <c r="D355" s="7" t="e">
        <f>D356+#REF!+D357+D359+D364</f>
        <v>#REF!</v>
      </c>
      <c r="E355" s="7" t="e">
        <f>E356+#REF!+E357+E358+E359+E364</f>
        <v>#REF!</v>
      </c>
      <c r="F355" s="7" t="e">
        <f>F356+#REF!+F357+F358+F359+F364+F365+F366+F367</f>
        <v>#REF!</v>
      </c>
      <c r="G355" s="7" t="e">
        <f>G356+#REF!+G357+G358+G359+G364</f>
        <v>#REF!</v>
      </c>
      <c r="H355" s="7">
        <f aca="true" t="shared" si="73" ref="H355:O355">H356+H357+H358+H360+H364</f>
        <v>0</v>
      </c>
      <c r="I355" s="7">
        <f t="shared" si="73"/>
        <v>0</v>
      </c>
      <c r="J355" s="7">
        <f t="shared" si="73"/>
        <v>0</v>
      </c>
      <c r="K355" s="7">
        <f t="shared" si="73"/>
        <v>0</v>
      </c>
      <c r="L355" s="7"/>
      <c r="M355" s="7">
        <f t="shared" si="73"/>
        <v>0</v>
      </c>
      <c r="N355" s="7">
        <f t="shared" si="73"/>
        <v>0</v>
      </c>
      <c r="O355" s="7">
        <f t="shared" si="73"/>
        <v>0</v>
      </c>
      <c r="P355" s="454" t="e">
        <f t="shared" si="71"/>
        <v>#DIV/0!</v>
      </c>
      <c r="Q355" s="292">
        <f t="shared" si="69"/>
        <v>0</v>
      </c>
      <c r="R355" s="293">
        <f t="shared" si="70"/>
        <v>0</v>
      </c>
    </row>
    <row r="356" spans="1:18" ht="21.75" customHeight="1" hidden="1">
      <c r="A356" s="657"/>
      <c r="B356" s="18" t="s">
        <v>475</v>
      </c>
      <c r="C356" s="11" t="s">
        <v>476</v>
      </c>
      <c r="D356" s="8">
        <v>0</v>
      </c>
      <c r="E356" s="8">
        <v>13764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/>
      <c r="M356" s="8">
        <v>0</v>
      </c>
      <c r="N356" s="8">
        <v>0</v>
      </c>
      <c r="O356" s="8">
        <v>0</v>
      </c>
      <c r="P356" s="454" t="e">
        <f t="shared" si="71"/>
        <v>#DIV/0!</v>
      </c>
      <c r="Q356" s="292">
        <f t="shared" si="69"/>
        <v>0</v>
      </c>
      <c r="R356" s="293">
        <f t="shared" si="70"/>
        <v>0</v>
      </c>
    </row>
    <row r="357" spans="1:18" ht="16.5" customHeight="1" hidden="1">
      <c r="A357" s="657"/>
      <c r="B357" s="25" t="s">
        <v>532</v>
      </c>
      <c r="C357" s="11" t="s">
        <v>554</v>
      </c>
      <c r="D357" s="8">
        <v>0</v>
      </c>
      <c r="E357" s="8">
        <v>2430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/>
      <c r="M357" s="8">
        <v>0</v>
      </c>
      <c r="N357" s="8">
        <v>0</v>
      </c>
      <c r="O357" s="8">
        <v>0</v>
      </c>
      <c r="P357" s="454" t="e">
        <f t="shared" si="71"/>
        <v>#DIV/0!</v>
      </c>
      <c r="Q357" s="292">
        <f t="shared" si="69"/>
        <v>0</v>
      </c>
      <c r="R357" s="293">
        <f t="shared" si="70"/>
        <v>0</v>
      </c>
    </row>
    <row r="358" spans="1:18" ht="21" customHeight="1" hidden="1">
      <c r="A358" s="657"/>
      <c r="B358" s="25" t="s">
        <v>483</v>
      </c>
      <c r="C358" s="11" t="s">
        <v>484</v>
      </c>
      <c r="D358" s="8"/>
      <c r="E358" s="8">
        <v>376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/>
      <c r="M358" s="8">
        <v>0</v>
      </c>
      <c r="N358" s="8">
        <v>0</v>
      </c>
      <c r="O358" s="8">
        <v>0</v>
      </c>
      <c r="P358" s="454" t="e">
        <f t="shared" si="71"/>
        <v>#DIV/0!</v>
      </c>
      <c r="Q358" s="292">
        <f t="shared" si="69"/>
        <v>0</v>
      </c>
      <c r="R358" s="293">
        <f t="shared" si="70"/>
        <v>0</v>
      </c>
    </row>
    <row r="359" spans="1:18" ht="20.25" customHeight="1" hidden="1">
      <c r="A359" s="657"/>
      <c r="B359" s="18"/>
      <c r="C359" s="8" t="s">
        <v>523</v>
      </c>
      <c r="D359" s="8">
        <v>0</v>
      </c>
      <c r="E359" s="8">
        <v>1100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/>
      <c r="M359" s="8">
        <v>0</v>
      </c>
      <c r="N359" s="8">
        <v>0</v>
      </c>
      <c r="O359" s="8">
        <v>0</v>
      </c>
      <c r="P359" s="454" t="e">
        <f t="shared" si="71"/>
        <v>#DIV/0!</v>
      </c>
      <c r="Q359" s="292">
        <f aca="true" t="shared" si="74" ref="Q359:Q383">K359/$K$662</f>
        <v>0</v>
      </c>
      <c r="R359" s="293">
        <f aca="true" t="shared" si="75" ref="R359:R383">L359/$L$662</f>
        <v>0</v>
      </c>
    </row>
    <row r="360" spans="1:18" ht="16.5" customHeight="1" hidden="1">
      <c r="A360" s="23"/>
      <c r="B360" s="18" t="s">
        <v>497</v>
      </c>
      <c r="C360" s="8" t="s">
        <v>498</v>
      </c>
      <c r="D360" s="8"/>
      <c r="E360" s="8"/>
      <c r="F360" s="8"/>
      <c r="G360" s="8"/>
      <c r="H360" s="8">
        <v>0</v>
      </c>
      <c r="I360" s="8">
        <v>0</v>
      </c>
      <c r="J360" s="8">
        <v>0</v>
      </c>
      <c r="K360" s="8">
        <v>0</v>
      </c>
      <c r="L360" s="8"/>
      <c r="M360" s="8">
        <v>0</v>
      </c>
      <c r="N360" s="8">
        <v>0</v>
      </c>
      <c r="O360" s="8">
        <v>0</v>
      </c>
      <c r="P360" s="454" t="e">
        <f t="shared" si="71"/>
        <v>#DIV/0!</v>
      </c>
      <c r="Q360" s="292">
        <f t="shared" si="74"/>
        <v>0</v>
      </c>
      <c r="R360" s="293">
        <f t="shared" si="75"/>
        <v>0</v>
      </c>
    </row>
    <row r="361" spans="1:18" ht="18.75" customHeight="1" hidden="1">
      <c r="A361" s="23"/>
      <c r="B361" s="18"/>
      <c r="C361" s="8"/>
      <c r="D361" s="8"/>
      <c r="E361" s="8"/>
      <c r="F361" s="8"/>
      <c r="G361" s="8"/>
      <c r="H361" s="8">
        <v>0</v>
      </c>
      <c r="I361" s="8">
        <v>0</v>
      </c>
      <c r="J361" s="8">
        <v>0</v>
      </c>
      <c r="K361" s="8">
        <v>0</v>
      </c>
      <c r="L361" s="8"/>
      <c r="M361" s="8">
        <v>0</v>
      </c>
      <c r="N361" s="8">
        <v>0</v>
      </c>
      <c r="O361" s="8">
        <v>0</v>
      </c>
      <c r="P361" s="454" t="e">
        <f t="shared" si="71"/>
        <v>#DIV/0!</v>
      </c>
      <c r="Q361" s="292">
        <f t="shared" si="74"/>
        <v>0</v>
      </c>
      <c r="R361" s="293">
        <f t="shared" si="75"/>
        <v>0</v>
      </c>
    </row>
    <row r="362" spans="1:18" ht="16.5" customHeight="1" hidden="1">
      <c r="A362" s="23"/>
      <c r="B362" s="18"/>
      <c r="C362" s="8"/>
      <c r="D362" s="8"/>
      <c r="E362" s="8"/>
      <c r="F362" s="8"/>
      <c r="G362" s="8"/>
      <c r="H362" s="8">
        <v>0</v>
      </c>
      <c r="I362" s="8">
        <v>0</v>
      </c>
      <c r="J362" s="8">
        <v>0</v>
      </c>
      <c r="K362" s="8">
        <v>0</v>
      </c>
      <c r="L362" s="8"/>
      <c r="M362" s="8">
        <v>0</v>
      </c>
      <c r="N362" s="8">
        <v>0</v>
      </c>
      <c r="O362" s="8">
        <v>0</v>
      </c>
      <c r="P362" s="454" t="e">
        <f t="shared" si="71"/>
        <v>#DIV/0!</v>
      </c>
      <c r="Q362" s="292">
        <f t="shared" si="74"/>
        <v>0</v>
      </c>
      <c r="R362" s="293">
        <f t="shared" si="75"/>
        <v>0</v>
      </c>
    </row>
    <row r="363" spans="1:18" ht="19.5" customHeight="1" hidden="1">
      <c r="A363" s="23"/>
      <c r="B363" s="18"/>
      <c r="C363" s="8"/>
      <c r="D363" s="8"/>
      <c r="E363" s="8"/>
      <c r="F363" s="8"/>
      <c r="G363" s="8"/>
      <c r="H363" s="8">
        <v>0</v>
      </c>
      <c r="I363" s="8">
        <v>0</v>
      </c>
      <c r="J363" s="8">
        <v>0</v>
      </c>
      <c r="K363" s="8">
        <v>0</v>
      </c>
      <c r="L363" s="8"/>
      <c r="M363" s="8">
        <v>0</v>
      </c>
      <c r="N363" s="8">
        <v>0</v>
      </c>
      <c r="O363" s="8">
        <v>0</v>
      </c>
      <c r="P363" s="454" t="e">
        <f t="shared" si="71"/>
        <v>#DIV/0!</v>
      </c>
      <c r="Q363" s="292">
        <f t="shared" si="74"/>
        <v>0</v>
      </c>
      <c r="R363" s="293">
        <f t="shared" si="75"/>
        <v>0</v>
      </c>
    </row>
    <row r="364" spans="1:18" ht="25.5" customHeight="1" hidden="1">
      <c r="A364" s="23"/>
      <c r="B364" s="18" t="s">
        <v>627</v>
      </c>
      <c r="C364" s="11" t="s">
        <v>659</v>
      </c>
      <c r="D364" s="8" t="e">
        <f>D365+#REF!+#REF!</f>
        <v>#REF!</v>
      </c>
      <c r="E364" s="8">
        <f>E365+E366+E367</f>
        <v>121567</v>
      </c>
      <c r="F364" s="8">
        <f>F365+F366+F367</f>
        <v>0</v>
      </c>
      <c r="G364" s="8">
        <f>G365+G366+G367</f>
        <v>29180</v>
      </c>
      <c r="H364" s="8">
        <v>0</v>
      </c>
      <c r="I364" s="8">
        <v>0</v>
      </c>
      <c r="J364" s="8">
        <v>0</v>
      </c>
      <c r="K364" s="8">
        <v>0</v>
      </c>
      <c r="L364" s="8"/>
      <c r="M364" s="8">
        <v>0</v>
      </c>
      <c r="N364" s="8">
        <v>0</v>
      </c>
      <c r="O364" s="8">
        <v>0</v>
      </c>
      <c r="P364" s="454" t="e">
        <f t="shared" si="71"/>
        <v>#DIV/0!</v>
      </c>
      <c r="Q364" s="292">
        <f t="shared" si="74"/>
        <v>0</v>
      </c>
      <c r="R364" s="293">
        <f t="shared" si="75"/>
        <v>0</v>
      </c>
    </row>
    <row r="365" spans="1:18" ht="18.75" customHeight="1" hidden="1">
      <c r="A365" s="23"/>
      <c r="B365" s="18"/>
      <c r="C365" s="28" t="s">
        <v>638</v>
      </c>
      <c r="D365" s="8">
        <v>0</v>
      </c>
      <c r="E365" s="8">
        <v>49189</v>
      </c>
      <c r="F365" s="8">
        <v>0</v>
      </c>
      <c r="G365" s="8">
        <v>4159</v>
      </c>
      <c r="H365" s="8">
        <v>0</v>
      </c>
      <c r="I365" s="8">
        <v>0</v>
      </c>
      <c r="J365" s="8">
        <v>0</v>
      </c>
      <c r="K365" s="8">
        <v>0</v>
      </c>
      <c r="L365" s="8"/>
      <c r="M365" s="8">
        <v>0</v>
      </c>
      <c r="N365" s="8">
        <v>0</v>
      </c>
      <c r="O365" s="8">
        <v>0</v>
      </c>
      <c r="P365" s="454" t="e">
        <f t="shared" si="71"/>
        <v>#DIV/0!</v>
      </c>
      <c r="Q365" s="292">
        <f t="shared" si="74"/>
        <v>0</v>
      </c>
      <c r="R365" s="293">
        <f t="shared" si="75"/>
        <v>0</v>
      </c>
    </row>
    <row r="366" spans="1:18" ht="18" customHeight="1" hidden="1">
      <c r="A366" s="23"/>
      <c r="B366" s="18"/>
      <c r="C366" s="28" t="s">
        <v>639</v>
      </c>
      <c r="D366" s="8"/>
      <c r="E366" s="8">
        <v>38942</v>
      </c>
      <c r="F366" s="8">
        <v>0</v>
      </c>
      <c r="G366" s="8">
        <v>3187</v>
      </c>
      <c r="H366" s="8">
        <v>0</v>
      </c>
      <c r="I366" s="8">
        <v>0</v>
      </c>
      <c r="J366" s="8">
        <v>0</v>
      </c>
      <c r="K366" s="8">
        <v>0</v>
      </c>
      <c r="L366" s="8"/>
      <c r="M366" s="8">
        <v>0</v>
      </c>
      <c r="N366" s="8">
        <v>0</v>
      </c>
      <c r="O366" s="8">
        <v>0</v>
      </c>
      <c r="P366" s="454" t="e">
        <f t="shared" si="71"/>
        <v>#DIV/0!</v>
      </c>
      <c r="Q366" s="292">
        <f t="shared" si="74"/>
        <v>0</v>
      </c>
      <c r="R366" s="293">
        <f t="shared" si="75"/>
        <v>0</v>
      </c>
    </row>
    <row r="367" spans="1:18" ht="15" customHeight="1" hidden="1">
      <c r="A367" s="23"/>
      <c r="B367" s="18"/>
      <c r="C367" s="28" t="s">
        <v>660</v>
      </c>
      <c r="D367" s="8"/>
      <c r="E367" s="8">
        <v>33436</v>
      </c>
      <c r="F367" s="8">
        <v>0</v>
      </c>
      <c r="G367" s="8">
        <v>21834</v>
      </c>
      <c r="H367" s="8"/>
      <c r="I367" s="8"/>
      <c r="J367" s="8"/>
      <c r="K367" s="8"/>
      <c r="L367" s="8"/>
      <c r="M367" s="8">
        <v>0</v>
      </c>
      <c r="N367" s="24">
        <f>H367</f>
        <v>0</v>
      </c>
      <c r="O367" s="24">
        <v>0</v>
      </c>
      <c r="P367" s="454" t="e">
        <f t="shared" si="71"/>
        <v>#DIV/0!</v>
      </c>
      <c r="Q367" s="292">
        <f t="shared" si="74"/>
        <v>0</v>
      </c>
      <c r="R367" s="293">
        <f t="shared" si="75"/>
        <v>0</v>
      </c>
    </row>
    <row r="368" spans="1:18" ht="17.25" customHeight="1">
      <c r="A368" s="26" t="s">
        <v>661</v>
      </c>
      <c r="B368" s="18"/>
      <c r="C368" s="7" t="s">
        <v>662</v>
      </c>
      <c r="D368" s="7">
        <f>D369+D370+D371+D374</f>
        <v>181894</v>
      </c>
      <c r="E368" s="7">
        <f>E369+E370+E371+E372+E374+E378</f>
        <v>139815</v>
      </c>
      <c r="F368" s="7">
        <f>F369+F370+F371+F372+F374+F378</f>
        <v>0</v>
      </c>
      <c r="G368" s="7">
        <f>G369+G370+G371+G372+G374+G378</f>
        <v>0</v>
      </c>
      <c r="H368" s="7">
        <f>H369+H370+H371+H372+H374+H378+H380+H376</f>
        <v>283956</v>
      </c>
      <c r="I368" s="7">
        <f>I369+I370+I371+I372+I374+I378+I380+I376</f>
        <v>0</v>
      </c>
      <c r="J368" s="7">
        <f>J369+J370+J371+J372+J374+J378+J380+J376</f>
        <v>0</v>
      </c>
      <c r="K368" s="7">
        <f>SUM(K369:K380)</f>
        <v>704774</v>
      </c>
      <c r="L368" s="7">
        <f>L369+L370+L371+L372+L374+L378+L380+L376+L373+L375+L377</f>
        <v>716418</v>
      </c>
      <c r="M368" s="7">
        <f>M369+M370+M371+M372+M374+M378+M380+M376+M373+M375+M377</f>
        <v>0</v>
      </c>
      <c r="N368" s="7">
        <f>N369+N370+N371+N372+N374+N378+N380+N376+N373+N375+N377</f>
        <v>716418</v>
      </c>
      <c r="O368" s="7">
        <f>O369+O370+O371+O372+O374+O378+O380+O376+O373+O375+O377</f>
        <v>0</v>
      </c>
      <c r="P368" s="454">
        <f t="shared" si="71"/>
        <v>1.0165216083453703</v>
      </c>
      <c r="Q368" s="292">
        <f t="shared" si="74"/>
        <v>0.020198453110547562</v>
      </c>
      <c r="R368" s="293">
        <f t="shared" si="75"/>
        <v>0.021846898440456074</v>
      </c>
    </row>
    <row r="369" spans="1:18" ht="24.75" customHeight="1">
      <c r="A369" s="26"/>
      <c r="B369" s="18" t="s">
        <v>475</v>
      </c>
      <c r="C369" s="11" t="s">
        <v>476</v>
      </c>
      <c r="D369" s="8">
        <v>134523</v>
      </c>
      <c r="E369" s="8">
        <v>97179</v>
      </c>
      <c r="F369" s="8">
        <v>0</v>
      </c>
      <c r="G369" s="8">
        <v>0</v>
      </c>
      <c r="H369" s="8">
        <v>148200</v>
      </c>
      <c r="I369" s="8">
        <v>0</v>
      </c>
      <c r="J369" s="8">
        <v>0</v>
      </c>
      <c r="K369" s="8">
        <v>372664</v>
      </c>
      <c r="L369" s="8">
        <v>408564</v>
      </c>
      <c r="M369" s="8">
        <v>0</v>
      </c>
      <c r="N369" s="24">
        <f>L369</f>
        <v>408564</v>
      </c>
      <c r="O369" s="24">
        <v>0</v>
      </c>
      <c r="P369" s="454">
        <f t="shared" si="71"/>
        <v>1.0963334263572548</v>
      </c>
      <c r="Q369" s="292">
        <f t="shared" si="74"/>
        <v>0.010680354737815381</v>
      </c>
      <c r="R369" s="293">
        <f t="shared" si="75"/>
        <v>0.012459006075261223</v>
      </c>
    </row>
    <row r="370" spans="1:18" ht="16.5" customHeight="1">
      <c r="A370" s="26"/>
      <c r="B370" s="18" t="s">
        <v>479</v>
      </c>
      <c r="C370" s="11" t="s">
        <v>480</v>
      </c>
      <c r="D370" s="8">
        <v>12439</v>
      </c>
      <c r="E370" s="8">
        <v>9136</v>
      </c>
      <c r="F370" s="8">
        <v>0</v>
      </c>
      <c r="G370" s="8">
        <v>0</v>
      </c>
      <c r="H370" s="8">
        <v>8185</v>
      </c>
      <c r="I370" s="8">
        <v>0</v>
      </c>
      <c r="J370" s="8">
        <v>0</v>
      </c>
      <c r="K370" s="8">
        <v>20261</v>
      </c>
      <c r="L370" s="8">
        <v>31800</v>
      </c>
      <c r="M370" s="8">
        <v>0</v>
      </c>
      <c r="N370" s="24">
        <f aca="true" t="shared" si="76" ref="N370:N380">L370</f>
        <v>31800</v>
      </c>
      <c r="O370" s="24">
        <v>0</v>
      </c>
      <c r="P370" s="454">
        <f t="shared" si="71"/>
        <v>1.569517792803909</v>
      </c>
      <c r="Q370" s="292">
        <f t="shared" si="74"/>
        <v>0.0005806696309353129</v>
      </c>
      <c r="R370" s="293">
        <f t="shared" si="75"/>
        <v>0.0009697290833096085</v>
      </c>
    </row>
    <row r="371" spans="1:18" ht="16.5" customHeight="1">
      <c r="A371" s="26"/>
      <c r="B371" s="25" t="s">
        <v>532</v>
      </c>
      <c r="C371" s="11" t="s">
        <v>554</v>
      </c>
      <c r="D371" s="8">
        <v>28542</v>
      </c>
      <c r="E371" s="8">
        <v>18746</v>
      </c>
      <c r="F371" s="8">
        <v>0</v>
      </c>
      <c r="G371" s="8">
        <v>0</v>
      </c>
      <c r="H371" s="20">
        <v>27400</v>
      </c>
      <c r="I371" s="8">
        <v>0</v>
      </c>
      <c r="J371" s="8">
        <v>0</v>
      </c>
      <c r="K371" s="8">
        <v>70900</v>
      </c>
      <c r="L371" s="8">
        <v>79221</v>
      </c>
      <c r="M371" s="8">
        <v>0</v>
      </c>
      <c r="N371" s="24">
        <f t="shared" si="76"/>
        <v>79221</v>
      </c>
      <c r="O371" s="24">
        <v>0</v>
      </c>
      <c r="P371" s="454">
        <f t="shared" si="71"/>
        <v>1.1173624823695345</v>
      </c>
      <c r="Q371" s="292">
        <f t="shared" si="74"/>
        <v>0.002031956805355791</v>
      </c>
      <c r="R371" s="293">
        <f t="shared" si="75"/>
        <v>0.0024158147078261164</v>
      </c>
    </row>
    <row r="372" spans="1:18" ht="16.5" customHeight="1">
      <c r="A372" s="26"/>
      <c r="B372" s="25" t="s">
        <v>483</v>
      </c>
      <c r="C372" s="11" t="s">
        <v>484</v>
      </c>
      <c r="D372" s="8"/>
      <c r="E372" s="8">
        <v>2604</v>
      </c>
      <c r="F372" s="8">
        <v>0</v>
      </c>
      <c r="G372" s="8">
        <v>0</v>
      </c>
      <c r="H372" s="20">
        <v>3760</v>
      </c>
      <c r="I372" s="8">
        <v>0</v>
      </c>
      <c r="J372" s="8">
        <v>0</v>
      </c>
      <c r="K372" s="8">
        <v>9900</v>
      </c>
      <c r="L372" s="8">
        <v>10790</v>
      </c>
      <c r="M372" s="8">
        <v>0</v>
      </c>
      <c r="N372" s="24">
        <f t="shared" si="76"/>
        <v>10790</v>
      </c>
      <c r="O372" s="24">
        <v>0</v>
      </c>
      <c r="P372" s="454">
        <f t="shared" si="71"/>
        <v>1.08989898989899</v>
      </c>
      <c r="Q372" s="292">
        <f t="shared" si="74"/>
        <v>0.00028372880638959563</v>
      </c>
      <c r="R372" s="293">
        <f t="shared" si="75"/>
        <v>0.0003290370065695181</v>
      </c>
    </row>
    <row r="373" spans="1:18" ht="16.5" customHeight="1" hidden="1">
      <c r="A373" s="26"/>
      <c r="B373" s="25" t="s">
        <v>461</v>
      </c>
      <c r="C373" s="11" t="s">
        <v>690</v>
      </c>
      <c r="D373" s="8"/>
      <c r="E373" s="8"/>
      <c r="F373" s="8"/>
      <c r="G373" s="8"/>
      <c r="H373" s="20"/>
      <c r="I373" s="8"/>
      <c r="J373" s="8"/>
      <c r="K373" s="8">
        <v>0</v>
      </c>
      <c r="L373" s="8">
        <v>0</v>
      </c>
      <c r="M373" s="8">
        <v>0</v>
      </c>
      <c r="N373" s="24">
        <f t="shared" si="76"/>
        <v>0</v>
      </c>
      <c r="O373" s="24">
        <v>0</v>
      </c>
      <c r="P373" s="454" t="e">
        <f t="shared" si="71"/>
        <v>#DIV/0!</v>
      </c>
      <c r="Q373" s="292">
        <f t="shared" si="74"/>
        <v>0</v>
      </c>
      <c r="R373" s="293">
        <f t="shared" si="75"/>
        <v>0</v>
      </c>
    </row>
    <row r="374" spans="1:18" ht="16.5" customHeight="1">
      <c r="A374" s="26"/>
      <c r="B374" s="18" t="s">
        <v>485</v>
      </c>
      <c r="C374" s="8" t="s">
        <v>512</v>
      </c>
      <c r="D374" s="8">
        <v>6390</v>
      </c>
      <c r="E374" s="8">
        <v>5029</v>
      </c>
      <c r="F374" s="8">
        <v>0</v>
      </c>
      <c r="G374" s="8">
        <v>0</v>
      </c>
      <c r="H374" s="20">
        <v>400</v>
      </c>
      <c r="I374" s="8">
        <v>0</v>
      </c>
      <c r="J374" s="8">
        <v>0</v>
      </c>
      <c r="K374" s="8">
        <v>2800</v>
      </c>
      <c r="L374" s="8">
        <v>6800</v>
      </c>
      <c r="M374" s="8">
        <v>0</v>
      </c>
      <c r="N374" s="24">
        <f t="shared" si="76"/>
        <v>6800</v>
      </c>
      <c r="O374" s="24">
        <v>0</v>
      </c>
      <c r="P374" s="454">
        <f t="shared" si="71"/>
        <v>2.4285714285714284</v>
      </c>
      <c r="Q374" s="292">
        <f t="shared" si="74"/>
        <v>8.024653110008766E-05</v>
      </c>
      <c r="R374" s="293">
        <f t="shared" si="75"/>
        <v>0.00020736345177689743</v>
      </c>
    </row>
    <row r="375" spans="1:18" ht="16.5" customHeight="1">
      <c r="A375" s="26"/>
      <c r="B375" s="18" t="s">
        <v>487</v>
      </c>
      <c r="C375" s="8" t="s">
        <v>488</v>
      </c>
      <c r="D375" s="8"/>
      <c r="E375" s="8"/>
      <c r="F375" s="8"/>
      <c r="G375" s="8"/>
      <c r="H375" s="20"/>
      <c r="I375" s="8"/>
      <c r="J375" s="8"/>
      <c r="K375" s="8">
        <v>2500</v>
      </c>
      <c r="L375" s="8">
        <v>6500</v>
      </c>
      <c r="M375" s="8">
        <v>0</v>
      </c>
      <c r="N375" s="24">
        <f t="shared" si="76"/>
        <v>6500</v>
      </c>
      <c r="O375" s="24">
        <v>0</v>
      </c>
      <c r="P375" s="454">
        <f t="shared" si="71"/>
        <v>2.6</v>
      </c>
      <c r="Q375" s="292">
        <f t="shared" si="74"/>
        <v>7.164868848222112E-05</v>
      </c>
      <c r="R375" s="293">
        <f t="shared" si="75"/>
        <v>0.0001982150641985049</v>
      </c>
    </row>
    <row r="376" spans="1:18" ht="16.5" customHeight="1">
      <c r="A376" s="26"/>
      <c r="B376" s="18" t="s">
        <v>491</v>
      </c>
      <c r="C376" s="8" t="s">
        <v>492</v>
      </c>
      <c r="D376" s="8"/>
      <c r="E376" s="8"/>
      <c r="F376" s="8"/>
      <c r="G376" s="8"/>
      <c r="H376" s="20">
        <v>1600</v>
      </c>
      <c r="I376" s="8">
        <v>0</v>
      </c>
      <c r="J376" s="8">
        <v>0</v>
      </c>
      <c r="K376" s="8">
        <v>3500</v>
      </c>
      <c r="L376" s="8">
        <v>8200</v>
      </c>
      <c r="M376" s="8">
        <v>0</v>
      </c>
      <c r="N376" s="24">
        <f t="shared" si="76"/>
        <v>8200</v>
      </c>
      <c r="O376" s="24">
        <v>0</v>
      </c>
      <c r="P376" s="454">
        <f t="shared" si="71"/>
        <v>2.342857142857143</v>
      </c>
      <c r="Q376" s="292">
        <f t="shared" si="74"/>
        <v>0.00010030816387510957</v>
      </c>
      <c r="R376" s="293">
        <f t="shared" si="75"/>
        <v>0.00025005592714272924</v>
      </c>
    </row>
    <row r="377" spans="1:18" ht="16.5" customHeight="1" hidden="1">
      <c r="A377" s="26"/>
      <c r="B377" s="18" t="s">
        <v>493</v>
      </c>
      <c r="C377" s="8" t="s">
        <v>650</v>
      </c>
      <c r="D377" s="8"/>
      <c r="E377" s="8"/>
      <c r="F377" s="8"/>
      <c r="G377" s="8"/>
      <c r="H377" s="20"/>
      <c r="I377" s="8"/>
      <c r="J377" s="8"/>
      <c r="K377" s="8">
        <v>0</v>
      </c>
      <c r="L377" s="8">
        <v>0</v>
      </c>
      <c r="M377" s="8">
        <v>0</v>
      </c>
      <c r="N377" s="24">
        <f t="shared" si="76"/>
        <v>0</v>
      </c>
      <c r="O377" s="24">
        <v>0</v>
      </c>
      <c r="P377" s="454" t="e">
        <f t="shared" si="71"/>
        <v>#DIV/0!</v>
      </c>
      <c r="Q377" s="292">
        <f t="shared" si="74"/>
        <v>0</v>
      </c>
      <c r="R377" s="293">
        <f t="shared" si="75"/>
        <v>0</v>
      </c>
    </row>
    <row r="378" spans="1:18" ht="15.75" customHeight="1">
      <c r="A378" s="26"/>
      <c r="B378" s="18" t="s">
        <v>497</v>
      </c>
      <c r="C378" s="8" t="s">
        <v>498</v>
      </c>
      <c r="D378" s="8"/>
      <c r="E378" s="8">
        <v>7121</v>
      </c>
      <c r="F378" s="8">
        <v>0</v>
      </c>
      <c r="G378" s="8">
        <v>0</v>
      </c>
      <c r="H378" s="20">
        <v>7875</v>
      </c>
      <c r="I378" s="8">
        <v>0</v>
      </c>
      <c r="J378" s="8">
        <v>0</v>
      </c>
      <c r="K378" s="8">
        <v>17005</v>
      </c>
      <c r="L378" s="8">
        <v>19556</v>
      </c>
      <c r="M378" s="8">
        <v>0</v>
      </c>
      <c r="N378" s="24">
        <f t="shared" si="76"/>
        <v>19556</v>
      </c>
      <c r="O378" s="24">
        <v>0</v>
      </c>
      <c r="P378" s="454">
        <f t="shared" si="71"/>
        <v>1.1500147015583653</v>
      </c>
      <c r="Q378" s="292">
        <f t="shared" si="74"/>
        <v>0.00048735437905606807</v>
      </c>
      <c r="R378" s="293">
        <f t="shared" si="75"/>
        <v>0.0005963528916101479</v>
      </c>
    </row>
    <row r="379" spans="1:18" ht="36.75" customHeight="1" hidden="1">
      <c r="A379" s="26" t="s">
        <v>663</v>
      </c>
      <c r="B379" s="18"/>
      <c r="C379" s="4" t="s">
        <v>664</v>
      </c>
      <c r="D379" s="7"/>
      <c r="E379" s="7">
        <f>E380</f>
        <v>0</v>
      </c>
      <c r="F379" s="7">
        <f>F380</f>
        <v>0</v>
      </c>
      <c r="G379" s="7">
        <f>G380</f>
        <v>0</v>
      </c>
      <c r="H379" s="7"/>
      <c r="I379" s="8">
        <v>0</v>
      </c>
      <c r="J379" s="8">
        <v>0</v>
      </c>
      <c r="K379" s="8">
        <v>0</v>
      </c>
      <c r="L379" s="8"/>
      <c r="M379" s="7">
        <f>M380</f>
        <v>0</v>
      </c>
      <c r="N379" s="24">
        <f t="shared" si="76"/>
        <v>0</v>
      </c>
      <c r="O379" s="19">
        <f>O380</f>
        <v>0</v>
      </c>
      <c r="P379" s="454" t="e">
        <f t="shared" si="71"/>
        <v>#DIV/0!</v>
      </c>
      <c r="Q379" s="292">
        <f t="shared" si="74"/>
        <v>0</v>
      </c>
      <c r="R379" s="293">
        <f t="shared" si="75"/>
        <v>0</v>
      </c>
    </row>
    <row r="380" spans="1:18" ht="24.75" customHeight="1">
      <c r="A380" s="26"/>
      <c r="B380" s="18" t="s">
        <v>627</v>
      </c>
      <c r="C380" s="249" t="s">
        <v>836</v>
      </c>
      <c r="D380" s="8"/>
      <c r="E380" s="8">
        <v>0</v>
      </c>
      <c r="F380" s="8">
        <v>0</v>
      </c>
      <c r="G380" s="8">
        <v>0</v>
      </c>
      <c r="H380" s="20">
        <v>86536</v>
      </c>
      <c r="I380" s="8">
        <v>0</v>
      </c>
      <c r="J380" s="8">
        <v>0</v>
      </c>
      <c r="K380" s="8">
        <v>205244</v>
      </c>
      <c r="L380" s="8">
        <v>144987</v>
      </c>
      <c r="M380" s="8">
        <v>0</v>
      </c>
      <c r="N380" s="24">
        <f t="shared" si="76"/>
        <v>144987</v>
      </c>
      <c r="O380" s="24">
        <v>0</v>
      </c>
      <c r="P380" s="454">
        <f t="shared" si="71"/>
        <v>0.7064128549433845</v>
      </c>
      <c r="Q380" s="292">
        <f t="shared" si="74"/>
        <v>0.005882185367537997</v>
      </c>
      <c r="R380" s="293">
        <f t="shared" si="75"/>
        <v>0.0044213242327613275</v>
      </c>
    </row>
    <row r="381" spans="1:18" ht="18" customHeight="1">
      <c r="A381" s="26" t="s">
        <v>667</v>
      </c>
      <c r="B381" s="27"/>
      <c r="C381" s="4" t="s">
        <v>673</v>
      </c>
      <c r="D381" s="7"/>
      <c r="E381" s="7" t="e">
        <f>E382+E384+#REF!+#REF!+E385</f>
        <v>#REF!</v>
      </c>
      <c r="F381" s="7" t="e">
        <f>F382+F384+#REF!+#REF!+F385</f>
        <v>#REF!</v>
      </c>
      <c r="G381" s="7" t="e">
        <f>G382+G384+#REF!+#REF!+G385</f>
        <v>#REF!</v>
      </c>
      <c r="H381" s="7">
        <f>H384+H385</f>
        <v>1270</v>
      </c>
      <c r="I381" s="7">
        <f>I384+I385</f>
        <v>0</v>
      </c>
      <c r="J381" s="7">
        <f>J384+J385</f>
        <v>0</v>
      </c>
      <c r="K381" s="7">
        <f>SUM(K383:K385)</f>
        <v>1743</v>
      </c>
      <c r="L381" s="7">
        <f>L383+L384+L385</f>
        <v>1200</v>
      </c>
      <c r="M381" s="7">
        <f>M384+M385</f>
        <v>0</v>
      </c>
      <c r="N381" s="19">
        <f>N383+N384+N385</f>
        <v>1200</v>
      </c>
      <c r="O381" s="19">
        <f>O384+O385</f>
        <v>0</v>
      </c>
      <c r="P381" s="454">
        <f t="shared" si="71"/>
        <v>0.6884681583476764</v>
      </c>
      <c r="Q381" s="292">
        <f t="shared" si="74"/>
        <v>4.9953465609804565E-05</v>
      </c>
      <c r="R381" s="293">
        <f t="shared" si="75"/>
        <v>3.659355031357013E-05</v>
      </c>
    </row>
    <row r="382" spans="1:18" ht="0.75" customHeight="1" hidden="1">
      <c r="A382" s="26"/>
      <c r="B382" s="18" t="s">
        <v>473</v>
      </c>
      <c r="C382" s="11" t="s">
        <v>674</v>
      </c>
      <c r="D382" s="8"/>
      <c r="E382" s="8">
        <v>0</v>
      </c>
      <c r="F382" s="8">
        <v>0</v>
      </c>
      <c r="G382" s="8">
        <v>0</v>
      </c>
      <c r="H382" s="7"/>
      <c r="I382" s="7"/>
      <c r="J382" s="7"/>
      <c r="K382" s="7"/>
      <c r="L382" s="7"/>
      <c r="M382" s="8"/>
      <c r="N382" s="24"/>
      <c r="O382" s="24"/>
      <c r="P382" s="454" t="e">
        <f t="shared" si="71"/>
        <v>#DIV/0!</v>
      </c>
      <c r="Q382" s="292">
        <f t="shared" si="74"/>
        <v>0</v>
      </c>
      <c r="R382" s="293">
        <f t="shared" si="75"/>
        <v>0</v>
      </c>
    </row>
    <row r="383" spans="1:18" ht="18" customHeight="1">
      <c r="A383" s="26"/>
      <c r="B383" s="18" t="s">
        <v>256</v>
      </c>
      <c r="C383" s="11" t="s">
        <v>257</v>
      </c>
      <c r="D383" s="8"/>
      <c r="E383" s="8"/>
      <c r="F383" s="8"/>
      <c r="G383" s="8"/>
      <c r="H383" s="7"/>
      <c r="I383" s="7"/>
      <c r="J383" s="7"/>
      <c r="K383" s="20">
        <v>1200</v>
      </c>
      <c r="L383" s="20">
        <v>960</v>
      </c>
      <c r="M383" s="8">
        <v>0</v>
      </c>
      <c r="N383" s="24">
        <f>L383</f>
        <v>960</v>
      </c>
      <c r="O383" s="24">
        <v>0</v>
      </c>
      <c r="P383" s="454">
        <f t="shared" si="71"/>
        <v>0.8</v>
      </c>
      <c r="Q383" s="292">
        <f t="shared" si="74"/>
        <v>3.439137047146614E-05</v>
      </c>
      <c r="R383" s="293">
        <f t="shared" si="75"/>
        <v>2.9274840250856108E-05</v>
      </c>
    </row>
    <row r="384" spans="1:18" ht="17.25" customHeight="1">
      <c r="A384" s="26"/>
      <c r="B384" s="18" t="s">
        <v>485</v>
      </c>
      <c r="C384" s="11" t="s">
        <v>512</v>
      </c>
      <c r="D384" s="8"/>
      <c r="E384" s="8">
        <v>43</v>
      </c>
      <c r="F384" s="8">
        <v>0</v>
      </c>
      <c r="G384" s="8">
        <v>7</v>
      </c>
      <c r="H384" s="8">
        <v>100</v>
      </c>
      <c r="I384" s="8">
        <v>0</v>
      </c>
      <c r="J384" s="8">
        <v>0</v>
      </c>
      <c r="K384" s="8">
        <v>543</v>
      </c>
      <c r="L384" s="8">
        <v>240</v>
      </c>
      <c r="M384" s="8">
        <v>0</v>
      </c>
      <c r="N384" s="24">
        <f>L384</f>
        <v>240</v>
      </c>
      <c r="O384" s="24">
        <v>0</v>
      </c>
      <c r="P384" s="454">
        <f t="shared" si="71"/>
        <v>0.4419889502762431</v>
      </c>
      <c r="Q384" s="292">
        <f aca="true" t="shared" si="77" ref="Q384:Q411">K384/$K$662</f>
        <v>1.5562095138338428E-05</v>
      </c>
      <c r="R384" s="293">
        <f aca="true" t="shared" si="78" ref="R384:R411">L384/$L$662</f>
        <v>7.318710062714027E-06</v>
      </c>
    </row>
    <row r="385" spans="1:18" ht="15" customHeight="1">
      <c r="A385" s="26"/>
      <c r="B385" s="18" t="s">
        <v>491</v>
      </c>
      <c r="C385" s="8" t="s">
        <v>492</v>
      </c>
      <c r="D385" s="8"/>
      <c r="E385" s="8">
        <v>1250</v>
      </c>
      <c r="F385" s="8">
        <v>69</v>
      </c>
      <c r="G385" s="8">
        <v>0</v>
      </c>
      <c r="H385" s="8">
        <v>1170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24">
        <f>L385</f>
        <v>0</v>
      </c>
      <c r="O385" s="24">
        <v>0</v>
      </c>
      <c r="P385" s="454">
        <v>0</v>
      </c>
      <c r="Q385" s="292">
        <f t="shared" si="77"/>
        <v>0</v>
      </c>
      <c r="R385" s="293">
        <f t="shared" si="78"/>
        <v>0</v>
      </c>
    </row>
    <row r="386" spans="1:18" ht="24.75" customHeight="1">
      <c r="A386" s="26" t="s">
        <v>675</v>
      </c>
      <c r="B386" s="27"/>
      <c r="C386" s="4" t="s">
        <v>676</v>
      </c>
      <c r="D386" s="7"/>
      <c r="E386" s="7">
        <f>E387</f>
        <v>22260</v>
      </c>
      <c r="F386" s="7">
        <f>F387</f>
        <v>0</v>
      </c>
      <c r="G386" s="7">
        <f>G387</f>
        <v>0</v>
      </c>
      <c r="H386" s="7">
        <f>H387+H388+H389+H390+H391</f>
        <v>39096</v>
      </c>
      <c r="I386" s="7">
        <f>I387+I388+I389+I390+I391</f>
        <v>0</v>
      </c>
      <c r="J386" s="7">
        <f>J387+J388+J389+J390+J391</f>
        <v>0</v>
      </c>
      <c r="K386" s="7">
        <f>SUM(K387:K393)</f>
        <v>91555</v>
      </c>
      <c r="L386" s="7">
        <f>L387+L388+L389+L390+L391+L392+L393</f>
        <v>61720</v>
      </c>
      <c r="M386" s="7">
        <f>M387+M388+M389+M390+M391+M393</f>
        <v>0</v>
      </c>
      <c r="N386" s="7">
        <f>N387+N388+N389+N390+N391+N392+N393</f>
        <v>49720</v>
      </c>
      <c r="O386" s="7">
        <f>O387+O388+O389+O390+O391+O393</f>
        <v>12000</v>
      </c>
      <c r="P386" s="454">
        <f t="shared" si="71"/>
        <v>0.674130304188739</v>
      </c>
      <c r="Q386" s="292">
        <f t="shared" si="77"/>
        <v>0.002623918269595902</v>
      </c>
      <c r="R386" s="293">
        <f t="shared" si="78"/>
        <v>0.0018821282711279572</v>
      </c>
    </row>
    <row r="387" spans="1:18" ht="17.25" customHeight="1">
      <c r="A387" s="26"/>
      <c r="B387" s="18" t="s">
        <v>665</v>
      </c>
      <c r="C387" s="11" t="s">
        <v>1011</v>
      </c>
      <c r="D387" s="8"/>
      <c r="E387" s="8">
        <v>22260</v>
      </c>
      <c r="F387" s="8">
        <v>0</v>
      </c>
      <c r="G387" s="8">
        <v>0</v>
      </c>
      <c r="H387" s="20">
        <v>12000</v>
      </c>
      <c r="I387" s="20">
        <v>0</v>
      </c>
      <c r="J387" s="20">
        <v>0</v>
      </c>
      <c r="K387" s="8">
        <v>12000</v>
      </c>
      <c r="L387" s="8">
        <v>12000</v>
      </c>
      <c r="M387" s="8">
        <v>0</v>
      </c>
      <c r="N387" s="24">
        <v>0</v>
      </c>
      <c r="O387" s="24">
        <f>L387</f>
        <v>12000</v>
      </c>
      <c r="P387" s="454">
        <f t="shared" si="71"/>
        <v>1</v>
      </c>
      <c r="Q387" s="292">
        <f t="shared" si="77"/>
        <v>0.0003439137047146614</v>
      </c>
      <c r="R387" s="293">
        <f t="shared" si="78"/>
        <v>0.0003659355031357013</v>
      </c>
    </row>
    <row r="388" spans="1:18" ht="15" customHeight="1">
      <c r="A388" s="26"/>
      <c r="B388" s="18" t="s">
        <v>284</v>
      </c>
      <c r="C388" s="11" t="s">
        <v>1012</v>
      </c>
      <c r="D388" s="8"/>
      <c r="E388" s="8"/>
      <c r="F388" s="8"/>
      <c r="G388" s="8"/>
      <c r="H388" s="20">
        <v>13500</v>
      </c>
      <c r="I388" s="20">
        <v>0</v>
      </c>
      <c r="J388" s="20">
        <v>0</v>
      </c>
      <c r="K388" s="8">
        <v>12500</v>
      </c>
      <c r="L388" s="8">
        <v>0</v>
      </c>
      <c r="M388" s="8">
        <v>0</v>
      </c>
      <c r="N388" s="24">
        <f aca="true" t="shared" si="79" ref="N388:N393">L388</f>
        <v>0</v>
      </c>
      <c r="O388" s="24">
        <v>0</v>
      </c>
      <c r="P388" s="454">
        <f t="shared" si="71"/>
        <v>0</v>
      </c>
      <c r="Q388" s="292">
        <f t="shared" si="77"/>
        <v>0.00035824344241110564</v>
      </c>
      <c r="R388" s="293">
        <f t="shared" si="78"/>
        <v>0</v>
      </c>
    </row>
    <row r="389" spans="1:18" ht="23.25" customHeight="1">
      <c r="A389" s="26"/>
      <c r="B389" s="18" t="s">
        <v>475</v>
      </c>
      <c r="C389" s="11" t="s">
        <v>476</v>
      </c>
      <c r="D389" s="8"/>
      <c r="E389" s="8"/>
      <c r="F389" s="8"/>
      <c r="G389" s="8"/>
      <c r="H389" s="20">
        <v>11300</v>
      </c>
      <c r="I389" s="20">
        <v>0</v>
      </c>
      <c r="J389" s="20">
        <v>0</v>
      </c>
      <c r="K389" s="8">
        <v>15450</v>
      </c>
      <c r="L389" s="8">
        <v>18720</v>
      </c>
      <c r="M389" s="8">
        <v>0</v>
      </c>
      <c r="N389" s="24">
        <f t="shared" si="79"/>
        <v>18720</v>
      </c>
      <c r="O389" s="24">
        <v>0</v>
      </c>
      <c r="P389" s="454">
        <f t="shared" si="71"/>
        <v>1.2116504854368932</v>
      </c>
      <c r="Q389" s="292">
        <f t="shared" si="77"/>
        <v>0.00044278889482012653</v>
      </c>
      <c r="R389" s="293">
        <f t="shared" si="78"/>
        <v>0.0005708593848916941</v>
      </c>
    </row>
    <row r="390" spans="1:18" ht="15" customHeight="1">
      <c r="A390" s="26"/>
      <c r="B390" s="18" t="s">
        <v>508</v>
      </c>
      <c r="C390" s="11" t="s">
        <v>554</v>
      </c>
      <c r="D390" s="8"/>
      <c r="E390" s="8"/>
      <c r="F390" s="8"/>
      <c r="G390" s="8"/>
      <c r="H390" s="20">
        <v>2020</v>
      </c>
      <c r="I390" s="20">
        <v>0</v>
      </c>
      <c r="J390" s="20">
        <v>0</v>
      </c>
      <c r="K390" s="8">
        <v>2781</v>
      </c>
      <c r="L390" s="8">
        <v>3369</v>
      </c>
      <c r="M390" s="8">
        <v>0</v>
      </c>
      <c r="N390" s="24">
        <f t="shared" si="79"/>
        <v>3369</v>
      </c>
      <c r="O390" s="24">
        <v>0</v>
      </c>
      <c r="P390" s="454">
        <f t="shared" si="71"/>
        <v>1.2114347357065804</v>
      </c>
      <c r="Q390" s="292">
        <f t="shared" si="77"/>
        <v>7.970200106762277E-05</v>
      </c>
      <c r="R390" s="293">
        <f t="shared" si="78"/>
        <v>0.00010273639250534814</v>
      </c>
    </row>
    <row r="391" spans="1:18" ht="15.75" customHeight="1">
      <c r="A391" s="26"/>
      <c r="B391" s="18" t="s">
        <v>483</v>
      </c>
      <c r="C391" s="11" t="s">
        <v>484</v>
      </c>
      <c r="D391" s="8"/>
      <c r="E391" s="8"/>
      <c r="F391" s="8"/>
      <c r="G391" s="8"/>
      <c r="H391" s="20">
        <v>276</v>
      </c>
      <c r="I391" s="20">
        <v>0</v>
      </c>
      <c r="J391" s="20">
        <v>0</v>
      </c>
      <c r="K391" s="8">
        <v>378</v>
      </c>
      <c r="L391" s="8">
        <v>459</v>
      </c>
      <c r="M391" s="8">
        <v>0</v>
      </c>
      <c r="N391" s="24">
        <f t="shared" si="79"/>
        <v>459</v>
      </c>
      <c r="O391" s="24">
        <v>0</v>
      </c>
      <c r="P391" s="454">
        <f t="shared" si="71"/>
        <v>1.2142857142857142</v>
      </c>
      <c r="Q391" s="292">
        <f t="shared" si="77"/>
        <v>1.0833281698511834E-05</v>
      </c>
      <c r="R391" s="293">
        <f t="shared" si="78"/>
        <v>1.3997032994940576E-05</v>
      </c>
    </row>
    <row r="392" spans="1:18" ht="15.75" customHeight="1">
      <c r="A392" s="26"/>
      <c r="B392" s="18" t="s">
        <v>256</v>
      </c>
      <c r="C392" s="11" t="s">
        <v>974</v>
      </c>
      <c r="D392" s="8"/>
      <c r="E392" s="8"/>
      <c r="F392" s="8"/>
      <c r="G392" s="8"/>
      <c r="H392" s="20"/>
      <c r="I392" s="20"/>
      <c r="J392" s="20"/>
      <c r="K392" s="8">
        <v>3000</v>
      </c>
      <c r="L392" s="8">
        <v>5000</v>
      </c>
      <c r="M392" s="8">
        <v>0</v>
      </c>
      <c r="N392" s="24">
        <f t="shared" si="79"/>
        <v>5000</v>
      </c>
      <c r="O392" s="24">
        <v>0</v>
      </c>
      <c r="P392" s="454">
        <f t="shared" si="71"/>
        <v>1.6666666666666667</v>
      </c>
      <c r="Q392" s="292">
        <f t="shared" si="77"/>
        <v>8.597842617866535E-05</v>
      </c>
      <c r="R392" s="293">
        <f t="shared" si="78"/>
        <v>0.0001524731263065422</v>
      </c>
    </row>
    <row r="393" spans="1:18" ht="15.75" customHeight="1">
      <c r="A393" s="26"/>
      <c r="B393" s="18" t="s">
        <v>491</v>
      </c>
      <c r="C393" s="8" t="s">
        <v>492</v>
      </c>
      <c r="D393" s="8"/>
      <c r="E393" s="8"/>
      <c r="F393" s="8"/>
      <c r="G393" s="8"/>
      <c r="H393" s="20"/>
      <c r="I393" s="20"/>
      <c r="J393" s="20"/>
      <c r="K393" s="8">
        <v>45446</v>
      </c>
      <c r="L393" s="8">
        <v>22172</v>
      </c>
      <c r="M393" s="8">
        <v>0</v>
      </c>
      <c r="N393" s="24">
        <f t="shared" si="79"/>
        <v>22172</v>
      </c>
      <c r="O393" s="24">
        <v>0</v>
      </c>
      <c r="P393" s="454">
        <f aca="true" t="shared" si="80" ref="P393:P460">L393/K393</f>
        <v>0.48787572063547946</v>
      </c>
      <c r="Q393" s="292">
        <f t="shared" si="77"/>
        <v>0.0013024585187052084</v>
      </c>
      <c r="R393" s="293">
        <f t="shared" si="78"/>
        <v>0.0006761268312937308</v>
      </c>
    </row>
    <row r="394" spans="1:18" ht="15.75" customHeight="1">
      <c r="A394" s="26" t="s">
        <v>677</v>
      </c>
      <c r="B394" s="18"/>
      <c r="C394" s="7" t="s">
        <v>556</v>
      </c>
      <c r="D394" s="8"/>
      <c r="E394" s="8"/>
      <c r="F394" s="8"/>
      <c r="G394" s="8"/>
      <c r="H394" s="20"/>
      <c r="I394" s="20"/>
      <c r="J394" s="20"/>
      <c r="K394" s="7">
        <f>K395</f>
        <v>44474</v>
      </c>
      <c r="L394" s="7">
        <f>L395</f>
        <v>0</v>
      </c>
      <c r="M394" s="7">
        <f>M395</f>
        <v>0</v>
      </c>
      <c r="N394" s="7">
        <f>N395</f>
        <v>0</v>
      </c>
      <c r="O394" s="7">
        <f>O395</f>
        <v>0</v>
      </c>
      <c r="P394" s="454">
        <f t="shared" si="80"/>
        <v>0</v>
      </c>
      <c r="Q394" s="292">
        <f t="shared" si="77"/>
        <v>0.001274601508623321</v>
      </c>
      <c r="R394" s="293">
        <f t="shared" si="78"/>
        <v>0</v>
      </c>
    </row>
    <row r="395" spans="1:18" ht="15.75" customHeight="1">
      <c r="A395" s="26"/>
      <c r="B395" s="31" t="s">
        <v>497</v>
      </c>
      <c r="C395" s="20" t="s">
        <v>498</v>
      </c>
      <c r="D395" s="8"/>
      <c r="E395" s="8"/>
      <c r="F395" s="8"/>
      <c r="G395" s="8"/>
      <c r="H395" s="20"/>
      <c r="I395" s="20"/>
      <c r="J395" s="20"/>
      <c r="K395" s="8">
        <v>44474</v>
      </c>
      <c r="L395" s="8">
        <v>0</v>
      </c>
      <c r="M395" s="8">
        <v>0</v>
      </c>
      <c r="N395" s="24">
        <v>0</v>
      </c>
      <c r="O395" s="24">
        <v>0</v>
      </c>
      <c r="P395" s="454">
        <f t="shared" si="80"/>
        <v>0</v>
      </c>
      <c r="Q395" s="292">
        <f t="shared" si="77"/>
        <v>0.001274601508623321</v>
      </c>
      <c r="R395" s="293">
        <f t="shared" si="78"/>
        <v>0</v>
      </c>
    </row>
    <row r="396" spans="1:184" s="451" customFormat="1" ht="15.75" customHeight="1">
      <c r="A396" s="450" t="s">
        <v>773</v>
      </c>
      <c r="B396" s="447"/>
      <c r="C396" s="444" t="s">
        <v>929</v>
      </c>
      <c r="D396" s="444"/>
      <c r="E396" s="444"/>
      <c r="F396" s="444"/>
      <c r="G396" s="444"/>
      <c r="H396" s="444"/>
      <c r="I396" s="444"/>
      <c r="J396" s="444"/>
      <c r="K396" s="444">
        <f>K397</f>
        <v>101447</v>
      </c>
      <c r="L396" s="444">
        <f>L397</f>
        <v>72046</v>
      </c>
      <c r="M396" s="444">
        <f>M397</f>
        <v>0</v>
      </c>
      <c r="N396" s="444">
        <f>N397</f>
        <v>72046</v>
      </c>
      <c r="O396" s="444">
        <f>O397</f>
        <v>0</v>
      </c>
      <c r="P396" s="440">
        <f t="shared" si="80"/>
        <v>0.7101836426902718</v>
      </c>
      <c r="Q396" s="440">
        <f t="shared" si="77"/>
        <v>0.0029074178001823547</v>
      </c>
      <c r="R396" s="441">
        <f t="shared" si="78"/>
        <v>0.0021970157715762283</v>
      </c>
      <c r="S396" s="458"/>
      <c r="T396" s="458"/>
      <c r="U396" s="458"/>
      <c r="V396" s="458"/>
      <c r="W396" s="458"/>
      <c r="X396" s="458"/>
      <c r="Y396" s="458"/>
      <c r="Z396" s="458"/>
      <c r="AA396" s="458"/>
      <c r="AB396" s="458"/>
      <c r="AC396" s="458"/>
      <c r="AD396" s="458"/>
      <c r="AE396" s="458"/>
      <c r="AF396" s="458"/>
      <c r="AG396" s="458"/>
      <c r="AH396" s="458"/>
      <c r="AI396" s="458"/>
      <c r="AJ396" s="458"/>
      <c r="AK396" s="458"/>
      <c r="AL396" s="458"/>
      <c r="AM396" s="458"/>
      <c r="AN396" s="458"/>
      <c r="AO396" s="458"/>
      <c r="AP396" s="458"/>
      <c r="AQ396" s="458"/>
      <c r="AR396" s="458"/>
      <c r="AS396" s="458"/>
      <c r="AT396" s="458"/>
      <c r="AU396" s="458"/>
      <c r="AV396" s="458"/>
      <c r="AW396" s="458"/>
      <c r="AX396" s="458"/>
      <c r="AY396" s="458"/>
      <c r="AZ396" s="458"/>
      <c r="BA396" s="458"/>
      <c r="BB396" s="458"/>
      <c r="BC396" s="458"/>
      <c r="BD396" s="458"/>
      <c r="BE396" s="458"/>
      <c r="BF396" s="458"/>
      <c r="BG396" s="458"/>
      <c r="BH396" s="458"/>
      <c r="BI396" s="458"/>
      <c r="BJ396" s="458"/>
      <c r="BK396" s="458"/>
      <c r="BL396" s="458"/>
      <c r="BM396" s="458"/>
      <c r="BN396" s="458"/>
      <c r="BO396" s="458"/>
      <c r="BP396" s="458"/>
      <c r="BQ396" s="458"/>
      <c r="BR396" s="458"/>
      <c r="BS396" s="458"/>
      <c r="BT396" s="458"/>
      <c r="BU396" s="458"/>
      <c r="BV396" s="458"/>
      <c r="BW396" s="458"/>
      <c r="BX396" s="458"/>
      <c r="BY396" s="458"/>
      <c r="BZ396" s="458"/>
      <c r="CA396" s="458"/>
      <c r="CB396" s="458"/>
      <c r="CC396" s="458"/>
      <c r="CD396" s="458"/>
      <c r="CE396" s="458"/>
      <c r="CF396" s="458"/>
      <c r="CG396" s="458"/>
      <c r="CH396" s="458"/>
      <c r="CI396" s="458"/>
      <c r="CJ396" s="458"/>
      <c r="CK396" s="458"/>
      <c r="CL396" s="458"/>
      <c r="CM396" s="458"/>
      <c r="CN396" s="458"/>
      <c r="CO396" s="458"/>
      <c r="CP396" s="458"/>
      <c r="CQ396" s="458"/>
      <c r="CR396" s="458"/>
      <c r="CS396" s="458"/>
      <c r="CT396" s="458"/>
      <c r="CU396" s="458"/>
      <c r="CV396" s="458"/>
      <c r="CW396" s="458"/>
      <c r="CX396" s="458"/>
      <c r="CY396" s="458"/>
      <c r="CZ396" s="458"/>
      <c r="DA396" s="458"/>
      <c r="DB396" s="458"/>
      <c r="DC396" s="458"/>
      <c r="DD396" s="458"/>
      <c r="DE396" s="458"/>
      <c r="DF396" s="458"/>
      <c r="DG396" s="458"/>
      <c r="DH396" s="458"/>
      <c r="DI396" s="458"/>
      <c r="DJ396" s="458"/>
      <c r="DK396" s="458"/>
      <c r="DL396" s="458"/>
      <c r="DM396" s="458"/>
      <c r="DN396" s="458"/>
      <c r="DO396" s="458"/>
      <c r="DP396" s="458"/>
      <c r="DQ396" s="458"/>
      <c r="DR396" s="458"/>
      <c r="DS396" s="458"/>
      <c r="DT396" s="458"/>
      <c r="DU396" s="458"/>
      <c r="DV396" s="458"/>
      <c r="DW396" s="458"/>
      <c r="DX396" s="458"/>
      <c r="DY396" s="458"/>
      <c r="DZ396" s="458"/>
      <c r="EA396" s="458"/>
      <c r="EB396" s="458"/>
      <c r="EC396" s="458"/>
      <c r="ED396" s="458"/>
      <c r="EE396" s="458"/>
      <c r="EF396" s="458"/>
      <c r="EG396" s="458"/>
      <c r="EH396" s="458"/>
      <c r="EI396" s="458"/>
      <c r="EJ396" s="458"/>
      <c r="EK396" s="458"/>
      <c r="EL396" s="458"/>
      <c r="EM396" s="458"/>
      <c r="EN396" s="458"/>
      <c r="EO396" s="458"/>
      <c r="EP396" s="458"/>
      <c r="EQ396" s="458"/>
      <c r="ER396" s="458"/>
      <c r="ES396" s="458"/>
      <c r="ET396" s="458"/>
      <c r="EU396" s="458"/>
      <c r="EV396" s="458"/>
      <c r="EW396" s="458"/>
      <c r="EX396" s="458"/>
      <c r="EY396" s="458"/>
      <c r="EZ396" s="458"/>
      <c r="FA396" s="458"/>
      <c r="FB396" s="458"/>
      <c r="FC396" s="458"/>
      <c r="FD396" s="458"/>
      <c r="FE396" s="458"/>
      <c r="FF396" s="458"/>
      <c r="FG396" s="458"/>
      <c r="FH396" s="458"/>
      <c r="FI396" s="458"/>
      <c r="FJ396" s="458"/>
      <c r="FK396" s="458"/>
      <c r="FL396" s="458"/>
      <c r="FM396" s="458"/>
      <c r="FN396" s="458"/>
      <c r="FO396" s="458"/>
      <c r="FP396" s="458"/>
      <c r="FQ396" s="458"/>
      <c r="FR396" s="458"/>
      <c r="FS396" s="458"/>
      <c r="FT396" s="458"/>
      <c r="FU396" s="458"/>
      <c r="FV396" s="458"/>
      <c r="FW396" s="458"/>
      <c r="FX396" s="458"/>
      <c r="FY396" s="458"/>
      <c r="FZ396" s="458"/>
      <c r="GA396" s="458"/>
      <c r="GB396" s="458"/>
    </row>
    <row r="397" spans="1:18" ht="15.75" customHeight="1">
      <c r="A397" s="26" t="s">
        <v>774</v>
      </c>
      <c r="B397" s="18"/>
      <c r="C397" s="8" t="s">
        <v>775</v>
      </c>
      <c r="D397" s="8"/>
      <c r="E397" s="8"/>
      <c r="F397" s="8"/>
      <c r="G397" s="8"/>
      <c r="H397" s="20"/>
      <c r="I397" s="20"/>
      <c r="J397" s="20"/>
      <c r="K397" s="8">
        <f>SUM(K398:K405)</f>
        <v>101447</v>
      </c>
      <c r="L397" s="8">
        <f>SUM(L398:L405)</f>
        <v>72046</v>
      </c>
      <c r="M397" s="8">
        <v>0</v>
      </c>
      <c r="N397" s="8">
        <f>SUM(N398:N405)</f>
        <v>72046</v>
      </c>
      <c r="O397" s="8">
        <f>SUM(O398:O405)</f>
        <v>0</v>
      </c>
      <c r="P397" s="454">
        <f t="shared" si="80"/>
        <v>0.7101836426902718</v>
      </c>
      <c r="Q397" s="292">
        <f t="shared" si="77"/>
        <v>0.0029074178001823547</v>
      </c>
      <c r="R397" s="293">
        <f t="shared" si="78"/>
        <v>0.0021970157715762283</v>
      </c>
    </row>
    <row r="398" spans="1:18" ht="15.75" customHeight="1">
      <c r="A398" s="26"/>
      <c r="B398" s="18" t="s">
        <v>776</v>
      </c>
      <c r="C398" s="8" t="s">
        <v>777</v>
      </c>
      <c r="D398" s="8"/>
      <c r="E398" s="8"/>
      <c r="F398" s="8"/>
      <c r="G398" s="8"/>
      <c r="H398" s="20"/>
      <c r="I398" s="20"/>
      <c r="J398" s="20"/>
      <c r="K398" s="8">
        <v>72275</v>
      </c>
      <c r="L398" s="8">
        <v>49350</v>
      </c>
      <c r="M398" s="8">
        <v>0</v>
      </c>
      <c r="N398" s="24">
        <f>L398</f>
        <v>49350</v>
      </c>
      <c r="O398" s="24">
        <v>0</v>
      </c>
      <c r="P398" s="454">
        <f t="shared" si="80"/>
        <v>0.6828087167070218</v>
      </c>
      <c r="Q398" s="292">
        <f t="shared" si="77"/>
        <v>0.0020713635840210127</v>
      </c>
      <c r="R398" s="293">
        <f t="shared" si="78"/>
        <v>0.0015049097566455717</v>
      </c>
    </row>
    <row r="399" spans="1:18" ht="15.75" customHeight="1">
      <c r="A399" s="26"/>
      <c r="B399" s="18" t="s">
        <v>778</v>
      </c>
      <c r="C399" s="8" t="s">
        <v>777</v>
      </c>
      <c r="D399" s="8"/>
      <c r="E399" s="8"/>
      <c r="F399" s="8"/>
      <c r="G399" s="8"/>
      <c r="H399" s="20"/>
      <c r="I399" s="20"/>
      <c r="J399" s="20"/>
      <c r="K399" s="8">
        <v>24092</v>
      </c>
      <c r="L399" s="8">
        <v>16450</v>
      </c>
      <c r="M399" s="8">
        <v>0</v>
      </c>
      <c r="N399" s="24">
        <f aca="true" t="shared" si="81" ref="N399:N409">L399</f>
        <v>16450</v>
      </c>
      <c r="O399" s="24">
        <v>0</v>
      </c>
      <c r="P399" s="454">
        <f t="shared" si="80"/>
        <v>0.6827992694670431</v>
      </c>
      <c r="Q399" s="292">
        <f t="shared" si="77"/>
        <v>0.0006904640811654686</v>
      </c>
      <c r="R399" s="293">
        <f t="shared" si="78"/>
        <v>0.0005016365855485239</v>
      </c>
    </row>
    <row r="400" spans="1:18" ht="15.75" customHeight="1">
      <c r="A400" s="26"/>
      <c r="B400" s="18" t="s">
        <v>779</v>
      </c>
      <c r="C400" s="8" t="s">
        <v>257</v>
      </c>
      <c r="D400" s="8"/>
      <c r="E400" s="8"/>
      <c r="F400" s="8"/>
      <c r="G400" s="8"/>
      <c r="H400" s="20"/>
      <c r="I400" s="20"/>
      <c r="J400" s="20"/>
      <c r="K400" s="8">
        <v>2076</v>
      </c>
      <c r="L400" s="8">
        <v>1614</v>
      </c>
      <c r="M400" s="8">
        <v>0</v>
      </c>
      <c r="N400" s="24">
        <f t="shared" si="81"/>
        <v>1614</v>
      </c>
      <c r="O400" s="24">
        <v>0</v>
      </c>
      <c r="P400" s="454">
        <f t="shared" si="80"/>
        <v>0.7774566473988439</v>
      </c>
      <c r="Q400" s="292">
        <f t="shared" si="77"/>
        <v>5.9497070915636424E-05</v>
      </c>
      <c r="R400" s="293">
        <f t="shared" si="78"/>
        <v>4.921832517175183E-05</v>
      </c>
    </row>
    <row r="401" spans="1:18" ht="15.75" customHeight="1">
      <c r="A401" s="26"/>
      <c r="B401" s="18" t="s">
        <v>780</v>
      </c>
      <c r="C401" s="8" t="s">
        <v>257</v>
      </c>
      <c r="D401" s="8"/>
      <c r="E401" s="8"/>
      <c r="F401" s="8"/>
      <c r="G401" s="8"/>
      <c r="H401" s="20"/>
      <c r="I401" s="20"/>
      <c r="J401" s="20"/>
      <c r="K401" s="8">
        <v>692</v>
      </c>
      <c r="L401" s="8">
        <v>538</v>
      </c>
      <c r="M401" s="8">
        <v>0</v>
      </c>
      <c r="N401" s="24">
        <f t="shared" si="81"/>
        <v>538</v>
      </c>
      <c r="O401" s="24">
        <v>0</v>
      </c>
      <c r="P401" s="454">
        <f t="shared" si="80"/>
        <v>0.7774566473988439</v>
      </c>
      <c r="Q401" s="292">
        <f t="shared" si="77"/>
        <v>1.9832356971878807E-05</v>
      </c>
      <c r="R401" s="293">
        <f t="shared" si="78"/>
        <v>1.640610839058394E-05</v>
      </c>
    </row>
    <row r="402" spans="1:18" ht="15.75" customHeight="1">
      <c r="A402" s="26"/>
      <c r="B402" s="18" t="s">
        <v>781</v>
      </c>
      <c r="C402" s="8" t="s">
        <v>486</v>
      </c>
      <c r="D402" s="8"/>
      <c r="E402" s="8"/>
      <c r="F402" s="8"/>
      <c r="G402" s="8"/>
      <c r="H402" s="20"/>
      <c r="I402" s="20"/>
      <c r="J402" s="20"/>
      <c r="K402" s="8">
        <v>675</v>
      </c>
      <c r="L402" s="8">
        <v>70</v>
      </c>
      <c r="M402" s="8">
        <v>0</v>
      </c>
      <c r="N402" s="24">
        <f t="shared" si="81"/>
        <v>70</v>
      </c>
      <c r="O402" s="24">
        <v>0</v>
      </c>
      <c r="P402" s="454">
        <f t="shared" si="80"/>
        <v>0.1037037037037037</v>
      </c>
      <c r="Q402" s="292">
        <f t="shared" si="77"/>
        <v>1.9345145890199703E-05</v>
      </c>
      <c r="R402" s="293">
        <f t="shared" si="78"/>
        <v>2.134623768291591E-06</v>
      </c>
    </row>
    <row r="403" spans="1:18" ht="15.75" customHeight="1">
      <c r="A403" s="26"/>
      <c r="B403" s="18" t="s">
        <v>784</v>
      </c>
      <c r="C403" s="8" t="s">
        <v>486</v>
      </c>
      <c r="D403" s="8"/>
      <c r="E403" s="8"/>
      <c r="F403" s="8"/>
      <c r="G403" s="8"/>
      <c r="H403" s="20"/>
      <c r="I403" s="20"/>
      <c r="J403" s="20"/>
      <c r="K403" s="8">
        <v>225</v>
      </c>
      <c r="L403" s="8">
        <v>24</v>
      </c>
      <c r="M403" s="8">
        <v>0</v>
      </c>
      <c r="N403" s="24">
        <f t="shared" si="81"/>
        <v>24</v>
      </c>
      <c r="O403" s="24">
        <v>0</v>
      </c>
      <c r="P403" s="454">
        <f t="shared" si="80"/>
        <v>0.10666666666666667</v>
      </c>
      <c r="Q403" s="292">
        <f t="shared" si="77"/>
        <v>6.448381963399901E-06</v>
      </c>
      <c r="R403" s="293">
        <f t="shared" si="78"/>
        <v>7.318710062714027E-07</v>
      </c>
    </row>
    <row r="404" spans="1:18" ht="15" customHeight="1">
      <c r="A404" s="26"/>
      <c r="B404" s="18" t="s">
        <v>782</v>
      </c>
      <c r="C404" s="8" t="s">
        <v>586</v>
      </c>
      <c r="D404" s="8"/>
      <c r="E404" s="8"/>
      <c r="F404" s="8"/>
      <c r="G404" s="8"/>
      <c r="H404" s="20"/>
      <c r="I404" s="20"/>
      <c r="J404" s="20"/>
      <c r="K404" s="8">
        <v>1059</v>
      </c>
      <c r="L404" s="8">
        <v>3000</v>
      </c>
      <c r="M404" s="8">
        <v>0</v>
      </c>
      <c r="N404" s="24">
        <f t="shared" si="81"/>
        <v>3000</v>
      </c>
      <c r="O404" s="24">
        <v>0</v>
      </c>
      <c r="P404" s="454">
        <f t="shared" si="80"/>
        <v>2.8328611898016995</v>
      </c>
      <c r="Q404" s="292">
        <f t="shared" si="77"/>
        <v>3.0350384441068866E-05</v>
      </c>
      <c r="R404" s="293">
        <f t="shared" si="78"/>
        <v>9.148387578392533E-05</v>
      </c>
    </row>
    <row r="405" spans="1:118" ht="15.75" customHeight="1">
      <c r="A405" s="26"/>
      <c r="B405" s="18" t="s">
        <v>783</v>
      </c>
      <c r="C405" s="8" t="s">
        <v>586</v>
      </c>
      <c r="D405" s="8"/>
      <c r="E405" s="8"/>
      <c r="F405" s="8"/>
      <c r="G405" s="8"/>
      <c r="H405" s="20"/>
      <c r="I405" s="20"/>
      <c r="J405" s="20"/>
      <c r="K405" s="8">
        <v>353</v>
      </c>
      <c r="L405" s="8">
        <v>1000</v>
      </c>
      <c r="M405" s="8">
        <v>0</v>
      </c>
      <c r="N405" s="24">
        <f t="shared" si="81"/>
        <v>1000</v>
      </c>
      <c r="O405" s="24">
        <v>0</v>
      </c>
      <c r="P405" s="454">
        <f t="shared" si="80"/>
        <v>2.8328611898016995</v>
      </c>
      <c r="Q405" s="292">
        <f t="shared" si="77"/>
        <v>1.0116794813689622E-05</v>
      </c>
      <c r="R405" s="293">
        <f t="shared" si="78"/>
        <v>3.0494625261308444E-05</v>
      </c>
      <c r="S405" s="459"/>
      <c r="T405" s="459"/>
      <c r="U405" s="459"/>
      <c r="V405" s="459"/>
      <c r="W405" s="459"/>
      <c r="X405" s="459"/>
      <c r="Y405" s="459"/>
      <c r="Z405" s="459"/>
      <c r="AA405" s="459"/>
      <c r="AB405" s="459"/>
      <c r="AC405" s="459"/>
      <c r="AD405" s="459"/>
      <c r="AE405" s="459"/>
      <c r="AF405" s="459"/>
      <c r="AG405" s="459"/>
      <c r="AH405" s="459"/>
      <c r="AI405" s="459"/>
      <c r="AJ405" s="459"/>
      <c r="AK405" s="459"/>
      <c r="AL405" s="459"/>
      <c r="AM405" s="459"/>
      <c r="AN405" s="459"/>
      <c r="AO405" s="459"/>
      <c r="AP405" s="459"/>
      <c r="AQ405" s="459"/>
      <c r="AR405" s="459"/>
      <c r="AS405" s="459"/>
      <c r="AT405" s="459"/>
      <c r="AU405" s="459"/>
      <c r="AV405" s="459"/>
      <c r="AW405" s="459"/>
      <c r="AX405" s="459"/>
      <c r="AY405" s="459"/>
      <c r="AZ405" s="459"/>
      <c r="BA405" s="459"/>
      <c r="BB405" s="459"/>
      <c r="BC405" s="459"/>
      <c r="BD405" s="459"/>
      <c r="BE405" s="459"/>
      <c r="BF405" s="459"/>
      <c r="BG405" s="459"/>
      <c r="BH405" s="459"/>
      <c r="BI405" s="459"/>
      <c r="BJ405" s="459"/>
      <c r="BK405" s="459"/>
      <c r="BL405" s="459"/>
      <c r="BM405" s="459"/>
      <c r="BN405" s="459"/>
      <c r="BO405" s="459"/>
      <c r="BP405" s="459"/>
      <c r="BQ405" s="459"/>
      <c r="BR405" s="459"/>
      <c r="BS405" s="459"/>
      <c r="BT405" s="459"/>
      <c r="BU405" s="459"/>
      <c r="BV405" s="459"/>
      <c r="BW405" s="459"/>
      <c r="BX405" s="459"/>
      <c r="BY405" s="459"/>
      <c r="BZ405" s="459"/>
      <c r="CA405" s="459"/>
      <c r="CB405" s="459"/>
      <c r="CC405" s="459"/>
      <c r="CD405" s="459"/>
      <c r="CE405" s="459"/>
      <c r="CF405" s="459"/>
      <c r="CG405" s="459"/>
      <c r="CH405" s="459"/>
      <c r="CI405" s="459"/>
      <c r="CJ405" s="459"/>
      <c r="CK405" s="459"/>
      <c r="CL405" s="459"/>
      <c r="CM405" s="459"/>
      <c r="CN405" s="459"/>
      <c r="CO405" s="459"/>
      <c r="CP405" s="459"/>
      <c r="CQ405" s="459"/>
      <c r="CR405" s="459"/>
      <c r="CS405" s="459"/>
      <c r="CT405" s="459"/>
      <c r="CU405" s="459"/>
      <c r="CV405" s="459"/>
      <c r="CW405" s="459"/>
      <c r="CX405" s="459"/>
      <c r="CY405" s="459"/>
      <c r="CZ405" s="459"/>
      <c r="DA405" s="459"/>
      <c r="DB405" s="459"/>
      <c r="DC405" s="459"/>
      <c r="DD405" s="459"/>
      <c r="DE405" s="459"/>
      <c r="DF405" s="459"/>
      <c r="DG405" s="459"/>
      <c r="DH405" s="459"/>
      <c r="DI405" s="459"/>
      <c r="DJ405" s="459"/>
      <c r="DK405" s="459"/>
      <c r="DL405" s="459"/>
      <c r="DM405" s="459"/>
      <c r="DN405" s="459"/>
    </row>
    <row r="406" spans="1:118" ht="16.5" customHeight="1" hidden="1">
      <c r="A406" s="34"/>
      <c r="B406" s="31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4">
        <f t="shared" si="81"/>
        <v>0</v>
      </c>
      <c r="O406" s="21">
        <v>0</v>
      </c>
      <c r="P406" s="454" t="e">
        <f t="shared" si="80"/>
        <v>#DIV/0!</v>
      </c>
      <c r="Q406" s="292">
        <f t="shared" si="77"/>
        <v>0</v>
      </c>
      <c r="R406" s="293">
        <f t="shared" si="78"/>
        <v>0</v>
      </c>
      <c r="S406" s="459"/>
      <c r="T406" s="459"/>
      <c r="U406" s="459"/>
      <c r="V406" s="459"/>
      <c r="W406" s="459"/>
      <c r="X406" s="459"/>
      <c r="Y406" s="459"/>
      <c r="Z406" s="459"/>
      <c r="AA406" s="459"/>
      <c r="AB406" s="459"/>
      <c r="AC406" s="459"/>
      <c r="AD406" s="459"/>
      <c r="AE406" s="459"/>
      <c r="AF406" s="459"/>
      <c r="AG406" s="459"/>
      <c r="AH406" s="459"/>
      <c r="AI406" s="459"/>
      <c r="AJ406" s="459"/>
      <c r="AK406" s="459"/>
      <c r="AL406" s="459"/>
      <c r="AM406" s="459"/>
      <c r="AN406" s="459"/>
      <c r="AO406" s="459"/>
      <c r="AP406" s="459"/>
      <c r="AQ406" s="459"/>
      <c r="AR406" s="459"/>
      <c r="AS406" s="459"/>
      <c r="AT406" s="459"/>
      <c r="AU406" s="459"/>
      <c r="AV406" s="459"/>
      <c r="AW406" s="459"/>
      <c r="AX406" s="459"/>
      <c r="AY406" s="459"/>
      <c r="AZ406" s="459"/>
      <c r="BA406" s="459"/>
      <c r="BB406" s="459"/>
      <c r="BC406" s="459"/>
      <c r="BD406" s="459"/>
      <c r="BE406" s="459"/>
      <c r="BF406" s="459"/>
      <c r="BG406" s="459"/>
      <c r="BH406" s="459"/>
      <c r="BI406" s="459"/>
      <c r="BJ406" s="459"/>
      <c r="BK406" s="459"/>
      <c r="BL406" s="459"/>
      <c r="BM406" s="459"/>
      <c r="BN406" s="459"/>
      <c r="BO406" s="459"/>
      <c r="BP406" s="459"/>
      <c r="BQ406" s="459"/>
      <c r="BR406" s="459"/>
      <c r="BS406" s="459"/>
      <c r="BT406" s="459"/>
      <c r="BU406" s="459"/>
      <c r="BV406" s="459"/>
      <c r="BW406" s="459"/>
      <c r="BX406" s="459"/>
      <c r="BY406" s="459"/>
      <c r="BZ406" s="459"/>
      <c r="CA406" s="459"/>
      <c r="CB406" s="459"/>
      <c r="CC406" s="459"/>
      <c r="CD406" s="459"/>
      <c r="CE406" s="459"/>
      <c r="CF406" s="459"/>
      <c r="CG406" s="459"/>
      <c r="CH406" s="459"/>
      <c r="CI406" s="459"/>
      <c r="CJ406" s="459"/>
      <c r="CK406" s="459"/>
      <c r="CL406" s="459"/>
      <c r="CM406" s="459"/>
      <c r="CN406" s="459"/>
      <c r="CO406" s="459"/>
      <c r="CP406" s="459"/>
      <c r="CQ406" s="459"/>
      <c r="CR406" s="459"/>
      <c r="CS406" s="459"/>
      <c r="CT406" s="459"/>
      <c r="CU406" s="459"/>
      <c r="CV406" s="459"/>
      <c r="CW406" s="459"/>
      <c r="CX406" s="459"/>
      <c r="CY406" s="459"/>
      <c r="CZ406" s="459"/>
      <c r="DA406" s="459"/>
      <c r="DB406" s="459"/>
      <c r="DC406" s="459"/>
      <c r="DD406" s="459"/>
      <c r="DE406" s="459"/>
      <c r="DF406" s="459"/>
      <c r="DG406" s="459"/>
      <c r="DH406" s="459"/>
      <c r="DI406" s="459"/>
      <c r="DJ406" s="459"/>
      <c r="DK406" s="459"/>
      <c r="DL406" s="459"/>
      <c r="DM406" s="459"/>
      <c r="DN406" s="459"/>
    </row>
    <row r="407" spans="1:118" ht="15.75" customHeight="1" hidden="1">
      <c r="A407" s="34"/>
      <c r="B407" s="31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4">
        <f t="shared" si="81"/>
        <v>0</v>
      </c>
      <c r="O407" s="21">
        <v>0</v>
      </c>
      <c r="P407" s="454" t="e">
        <f t="shared" si="80"/>
        <v>#DIV/0!</v>
      </c>
      <c r="Q407" s="292">
        <f t="shared" si="77"/>
        <v>0</v>
      </c>
      <c r="R407" s="293">
        <f t="shared" si="78"/>
        <v>0</v>
      </c>
      <c r="S407" s="459"/>
      <c r="T407" s="459"/>
      <c r="U407" s="459"/>
      <c r="V407" s="459"/>
      <c r="W407" s="459"/>
      <c r="X407" s="459"/>
      <c r="Y407" s="459"/>
      <c r="Z407" s="459"/>
      <c r="AA407" s="459"/>
      <c r="AB407" s="459"/>
      <c r="AC407" s="459"/>
      <c r="AD407" s="459"/>
      <c r="AE407" s="459"/>
      <c r="AF407" s="459"/>
      <c r="AG407" s="459"/>
      <c r="AH407" s="459"/>
      <c r="AI407" s="459"/>
      <c r="AJ407" s="459"/>
      <c r="AK407" s="459"/>
      <c r="AL407" s="459"/>
      <c r="AM407" s="459"/>
      <c r="AN407" s="459"/>
      <c r="AO407" s="459"/>
      <c r="AP407" s="459"/>
      <c r="AQ407" s="459"/>
      <c r="AR407" s="459"/>
      <c r="AS407" s="459"/>
      <c r="AT407" s="459"/>
      <c r="AU407" s="459"/>
      <c r="AV407" s="459"/>
      <c r="AW407" s="459"/>
      <c r="AX407" s="459"/>
      <c r="AY407" s="459"/>
      <c r="AZ407" s="459"/>
      <c r="BA407" s="459"/>
      <c r="BB407" s="459"/>
      <c r="BC407" s="459"/>
      <c r="BD407" s="459"/>
      <c r="BE407" s="459"/>
      <c r="BF407" s="459"/>
      <c r="BG407" s="459"/>
      <c r="BH407" s="459"/>
      <c r="BI407" s="459"/>
      <c r="BJ407" s="459"/>
      <c r="BK407" s="459"/>
      <c r="BL407" s="459"/>
      <c r="BM407" s="459"/>
      <c r="BN407" s="459"/>
      <c r="BO407" s="459"/>
      <c r="BP407" s="459"/>
      <c r="BQ407" s="459"/>
      <c r="BR407" s="459"/>
      <c r="BS407" s="459"/>
      <c r="BT407" s="459"/>
      <c r="BU407" s="459"/>
      <c r="BV407" s="459"/>
      <c r="BW407" s="459"/>
      <c r="BX407" s="459"/>
      <c r="BY407" s="459"/>
      <c r="BZ407" s="459"/>
      <c r="CA407" s="459"/>
      <c r="CB407" s="459"/>
      <c r="CC407" s="459"/>
      <c r="CD407" s="459"/>
      <c r="CE407" s="459"/>
      <c r="CF407" s="459"/>
      <c r="CG407" s="459"/>
      <c r="CH407" s="459"/>
      <c r="CI407" s="459"/>
      <c r="CJ407" s="459"/>
      <c r="CK407" s="459"/>
      <c r="CL407" s="459"/>
      <c r="CM407" s="459"/>
      <c r="CN407" s="459"/>
      <c r="CO407" s="459"/>
      <c r="CP407" s="459"/>
      <c r="CQ407" s="459"/>
      <c r="CR407" s="459"/>
      <c r="CS407" s="459"/>
      <c r="CT407" s="459"/>
      <c r="CU407" s="459"/>
      <c r="CV407" s="459"/>
      <c r="CW407" s="459"/>
      <c r="CX407" s="459"/>
      <c r="CY407" s="459"/>
      <c r="CZ407" s="459"/>
      <c r="DA407" s="459"/>
      <c r="DB407" s="459"/>
      <c r="DC407" s="459"/>
      <c r="DD407" s="459"/>
      <c r="DE407" s="459"/>
      <c r="DF407" s="459"/>
      <c r="DG407" s="459"/>
      <c r="DH407" s="459"/>
      <c r="DI407" s="459"/>
      <c r="DJ407" s="459"/>
      <c r="DK407" s="459"/>
      <c r="DL407" s="459"/>
      <c r="DM407" s="459"/>
      <c r="DN407" s="459"/>
    </row>
    <row r="408" spans="1:118" ht="15" customHeight="1" hidden="1">
      <c r="A408" s="34"/>
      <c r="B408" s="31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4">
        <f t="shared" si="81"/>
        <v>0</v>
      </c>
      <c r="O408" s="21">
        <v>0</v>
      </c>
      <c r="P408" s="454" t="e">
        <f t="shared" si="80"/>
        <v>#DIV/0!</v>
      </c>
      <c r="Q408" s="292">
        <f t="shared" si="77"/>
        <v>0</v>
      </c>
      <c r="R408" s="293">
        <f t="shared" si="78"/>
        <v>0</v>
      </c>
      <c r="S408" s="459"/>
      <c r="T408" s="459"/>
      <c r="U408" s="459"/>
      <c r="V408" s="459"/>
      <c r="W408" s="459"/>
      <c r="X408" s="459"/>
      <c r="Y408" s="459"/>
      <c r="Z408" s="459"/>
      <c r="AA408" s="459"/>
      <c r="AB408" s="459"/>
      <c r="AC408" s="459"/>
      <c r="AD408" s="459"/>
      <c r="AE408" s="459"/>
      <c r="AF408" s="459"/>
      <c r="AG408" s="459"/>
      <c r="AH408" s="459"/>
      <c r="AI408" s="459"/>
      <c r="AJ408" s="459"/>
      <c r="AK408" s="459"/>
      <c r="AL408" s="459"/>
      <c r="AM408" s="459"/>
      <c r="AN408" s="459"/>
      <c r="AO408" s="459"/>
      <c r="AP408" s="459"/>
      <c r="AQ408" s="459"/>
      <c r="AR408" s="459"/>
      <c r="AS408" s="459"/>
      <c r="AT408" s="459"/>
      <c r="AU408" s="459"/>
      <c r="AV408" s="459"/>
      <c r="AW408" s="459"/>
      <c r="AX408" s="459"/>
      <c r="AY408" s="459"/>
      <c r="AZ408" s="459"/>
      <c r="BA408" s="459"/>
      <c r="BB408" s="459"/>
      <c r="BC408" s="459"/>
      <c r="BD408" s="459"/>
      <c r="BE408" s="459"/>
      <c r="BF408" s="459"/>
      <c r="BG408" s="459"/>
      <c r="BH408" s="459"/>
      <c r="BI408" s="459"/>
      <c r="BJ408" s="459"/>
      <c r="BK408" s="459"/>
      <c r="BL408" s="459"/>
      <c r="BM408" s="459"/>
      <c r="BN408" s="459"/>
      <c r="BO408" s="459"/>
      <c r="BP408" s="459"/>
      <c r="BQ408" s="459"/>
      <c r="BR408" s="459"/>
      <c r="BS408" s="459"/>
      <c r="BT408" s="459"/>
      <c r="BU408" s="459"/>
      <c r="BV408" s="459"/>
      <c r="BW408" s="459"/>
      <c r="BX408" s="459"/>
      <c r="BY408" s="459"/>
      <c r="BZ408" s="459"/>
      <c r="CA408" s="459"/>
      <c r="CB408" s="459"/>
      <c r="CC408" s="459"/>
      <c r="CD408" s="459"/>
      <c r="CE408" s="459"/>
      <c r="CF408" s="459"/>
      <c r="CG408" s="459"/>
      <c r="CH408" s="459"/>
      <c r="CI408" s="459"/>
      <c r="CJ408" s="459"/>
      <c r="CK408" s="459"/>
      <c r="CL408" s="459"/>
      <c r="CM408" s="459"/>
      <c r="CN408" s="459"/>
      <c r="CO408" s="459"/>
      <c r="CP408" s="459"/>
      <c r="CQ408" s="459"/>
      <c r="CR408" s="459"/>
      <c r="CS408" s="459"/>
      <c r="CT408" s="459"/>
      <c r="CU408" s="459"/>
      <c r="CV408" s="459"/>
      <c r="CW408" s="459"/>
      <c r="CX408" s="459"/>
      <c r="CY408" s="459"/>
      <c r="CZ408" s="459"/>
      <c r="DA408" s="459"/>
      <c r="DB408" s="459"/>
      <c r="DC408" s="459"/>
      <c r="DD408" s="459"/>
      <c r="DE408" s="459"/>
      <c r="DF408" s="459"/>
      <c r="DG408" s="459"/>
      <c r="DH408" s="459"/>
      <c r="DI408" s="459"/>
      <c r="DJ408" s="459"/>
      <c r="DK408" s="459"/>
      <c r="DL408" s="459"/>
      <c r="DM408" s="459"/>
      <c r="DN408" s="459"/>
    </row>
    <row r="409" spans="1:118" ht="14.25" customHeight="1" hidden="1">
      <c r="A409" s="26"/>
      <c r="B409" s="18"/>
      <c r="C409" s="8" t="s">
        <v>626</v>
      </c>
      <c r="D409" s="8">
        <v>75717</v>
      </c>
      <c r="E409" s="8">
        <v>32249</v>
      </c>
      <c r="F409" s="8">
        <v>8206</v>
      </c>
      <c r="G409" s="8">
        <v>0</v>
      </c>
      <c r="H409" s="20"/>
      <c r="I409" s="20"/>
      <c r="J409" s="20"/>
      <c r="K409" s="20"/>
      <c r="L409" s="20"/>
      <c r="M409" s="8">
        <v>0</v>
      </c>
      <c r="N409" s="24">
        <f t="shared" si="81"/>
        <v>0</v>
      </c>
      <c r="O409" s="24">
        <v>0</v>
      </c>
      <c r="P409" s="440" t="e">
        <f t="shared" si="80"/>
        <v>#DIV/0!</v>
      </c>
      <c r="Q409" s="292">
        <f t="shared" si="77"/>
        <v>0</v>
      </c>
      <c r="R409" s="293">
        <f t="shared" si="78"/>
        <v>0</v>
      </c>
      <c r="S409" s="459"/>
      <c r="T409" s="459"/>
      <c r="U409" s="459"/>
      <c r="V409" s="459"/>
      <c r="W409" s="459"/>
      <c r="X409" s="459"/>
      <c r="Y409" s="459"/>
      <c r="Z409" s="459"/>
      <c r="AA409" s="459"/>
      <c r="AB409" s="459"/>
      <c r="AC409" s="459"/>
      <c r="AD409" s="459"/>
      <c r="AE409" s="459"/>
      <c r="AF409" s="459"/>
      <c r="AG409" s="459"/>
      <c r="AH409" s="459"/>
      <c r="AI409" s="459"/>
      <c r="AJ409" s="459"/>
      <c r="AK409" s="459"/>
      <c r="AL409" s="459"/>
      <c r="AM409" s="459"/>
      <c r="AN409" s="459"/>
      <c r="AO409" s="459"/>
      <c r="AP409" s="459"/>
      <c r="AQ409" s="459"/>
      <c r="AR409" s="459"/>
      <c r="AS409" s="459"/>
      <c r="AT409" s="459"/>
      <c r="AU409" s="459"/>
      <c r="AV409" s="459"/>
      <c r="AW409" s="459"/>
      <c r="AX409" s="459"/>
      <c r="AY409" s="459"/>
      <c r="AZ409" s="459"/>
      <c r="BA409" s="459"/>
      <c r="BB409" s="459"/>
      <c r="BC409" s="459"/>
      <c r="BD409" s="459"/>
      <c r="BE409" s="459"/>
      <c r="BF409" s="459"/>
      <c r="BG409" s="459"/>
      <c r="BH409" s="459"/>
      <c r="BI409" s="459"/>
      <c r="BJ409" s="459"/>
      <c r="BK409" s="459"/>
      <c r="BL409" s="459"/>
      <c r="BM409" s="459"/>
      <c r="BN409" s="459"/>
      <c r="BO409" s="459"/>
      <c r="BP409" s="459"/>
      <c r="BQ409" s="459"/>
      <c r="BR409" s="459"/>
      <c r="BS409" s="459"/>
      <c r="BT409" s="459"/>
      <c r="BU409" s="459"/>
      <c r="BV409" s="459"/>
      <c r="BW409" s="459"/>
      <c r="BX409" s="459"/>
      <c r="BY409" s="459"/>
      <c r="BZ409" s="459"/>
      <c r="CA409" s="459"/>
      <c r="CB409" s="459"/>
      <c r="CC409" s="459"/>
      <c r="CD409" s="459"/>
      <c r="CE409" s="459"/>
      <c r="CF409" s="459"/>
      <c r="CG409" s="459"/>
      <c r="CH409" s="459"/>
      <c r="CI409" s="459"/>
      <c r="CJ409" s="459"/>
      <c r="CK409" s="459"/>
      <c r="CL409" s="459"/>
      <c r="CM409" s="459"/>
      <c r="CN409" s="459"/>
      <c r="CO409" s="459"/>
      <c r="CP409" s="459"/>
      <c r="CQ409" s="459"/>
      <c r="CR409" s="459"/>
      <c r="CS409" s="459"/>
      <c r="CT409" s="459"/>
      <c r="CU409" s="459"/>
      <c r="CV409" s="459"/>
      <c r="CW409" s="459"/>
      <c r="CX409" s="459"/>
      <c r="CY409" s="459"/>
      <c r="CZ409" s="459"/>
      <c r="DA409" s="459"/>
      <c r="DB409" s="459"/>
      <c r="DC409" s="459"/>
      <c r="DD409" s="459"/>
      <c r="DE409" s="459"/>
      <c r="DF409" s="459"/>
      <c r="DG409" s="459"/>
      <c r="DH409" s="459"/>
      <c r="DI409" s="459"/>
      <c r="DJ409" s="459"/>
      <c r="DK409" s="459"/>
      <c r="DL409" s="459"/>
      <c r="DM409" s="459"/>
      <c r="DN409" s="459"/>
    </row>
    <row r="410" spans="1:118" s="442" customFormat="1" ht="16.5" customHeight="1">
      <c r="A410" s="443" t="s">
        <v>678</v>
      </c>
      <c r="B410" s="447"/>
      <c r="C410" s="444" t="s">
        <v>679</v>
      </c>
      <c r="D410" s="444" t="e">
        <f>D411+#REF!+D429+D431+D441+D443</f>
        <v>#REF!</v>
      </c>
      <c r="E410" s="444" t="e">
        <f>E411+#REF!+E429+E431+E441+E443</f>
        <v>#REF!</v>
      </c>
      <c r="F410" s="444" t="e">
        <f>F411+#REF!+F431+F443</f>
        <v>#REF!</v>
      </c>
      <c r="G410" s="444" t="e">
        <f>G411+#REF!+G431+G443</f>
        <v>#REF!</v>
      </c>
      <c r="H410" s="444" t="e">
        <f>H411+#REF!+H443</f>
        <v>#REF!</v>
      </c>
      <c r="I410" s="444" t="e">
        <f>I411+#REF!+I443</f>
        <v>#REF!</v>
      </c>
      <c r="J410" s="444" t="e">
        <f>J411+#REF!+J443</f>
        <v>#REF!</v>
      </c>
      <c r="K410" s="444">
        <f>K411+K419+K443</f>
        <v>4086483</v>
      </c>
      <c r="L410" s="444">
        <f>L411+L419+L443</f>
        <v>4343428</v>
      </c>
      <c r="M410" s="444">
        <f>M411+M419+M443</f>
        <v>545000</v>
      </c>
      <c r="N410" s="444">
        <f>N411+N419+N443</f>
        <v>3798428</v>
      </c>
      <c r="O410" s="444">
        <f>O411+O419+O443</f>
        <v>0</v>
      </c>
      <c r="P410" s="440">
        <f t="shared" si="80"/>
        <v>1.0628768062903968</v>
      </c>
      <c r="Q410" s="440">
        <f t="shared" si="77"/>
        <v>0.11711645898195697</v>
      </c>
      <c r="R410" s="441">
        <f t="shared" si="78"/>
        <v>0.13245120920947442</v>
      </c>
      <c r="S410" s="459"/>
      <c r="T410" s="459"/>
      <c r="U410" s="459"/>
      <c r="V410" s="459"/>
      <c r="W410" s="459"/>
      <c r="X410" s="459"/>
      <c r="Y410" s="459"/>
      <c r="Z410" s="459"/>
      <c r="AA410" s="459"/>
      <c r="AB410" s="459"/>
      <c r="AC410" s="459"/>
      <c r="AD410" s="459"/>
      <c r="AE410" s="459"/>
      <c r="AF410" s="459"/>
      <c r="AG410" s="459"/>
      <c r="AH410" s="459"/>
      <c r="AI410" s="459"/>
      <c r="AJ410" s="459"/>
      <c r="AK410" s="459"/>
      <c r="AL410" s="459"/>
      <c r="AM410" s="459"/>
      <c r="AN410" s="459"/>
      <c r="AO410" s="459"/>
      <c r="AP410" s="459"/>
      <c r="AQ410" s="459"/>
      <c r="AR410" s="459"/>
      <c r="AS410" s="459"/>
      <c r="AT410" s="459"/>
      <c r="AU410" s="459"/>
      <c r="AV410" s="459"/>
      <c r="AW410" s="459"/>
      <c r="AX410" s="459"/>
      <c r="AY410" s="459"/>
      <c r="AZ410" s="459"/>
      <c r="BA410" s="459"/>
      <c r="BB410" s="459"/>
      <c r="BC410" s="459"/>
      <c r="BD410" s="459"/>
      <c r="BE410" s="459"/>
      <c r="BF410" s="459"/>
      <c r="BG410" s="459"/>
      <c r="BH410" s="459"/>
      <c r="BI410" s="459"/>
      <c r="BJ410" s="459"/>
      <c r="BK410" s="459"/>
      <c r="BL410" s="459"/>
      <c r="BM410" s="459"/>
      <c r="BN410" s="459"/>
      <c r="BO410" s="459"/>
      <c r="BP410" s="459"/>
      <c r="BQ410" s="459"/>
      <c r="BR410" s="459"/>
      <c r="BS410" s="459"/>
      <c r="BT410" s="459"/>
      <c r="BU410" s="459"/>
      <c r="BV410" s="459"/>
      <c r="BW410" s="459"/>
      <c r="BX410" s="459"/>
      <c r="BY410" s="459"/>
      <c r="BZ410" s="459"/>
      <c r="CA410" s="459"/>
      <c r="CB410" s="459"/>
      <c r="CC410" s="459"/>
      <c r="CD410" s="459"/>
      <c r="CE410" s="459"/>
      <c r="CF410" s="459"/>
      <c r="CG410" s="459"/>
      <c r="CH410" s="459"/>
      <c r="CI410" s="459"/>
      <c r="CJ410" s="459"/>
      <c r="CK410" s="459"/>
      <c r="CL410" s="459"/>
      <c r="CM410" s="459"/>
      <c r="CN410" s="459"/>
      <c r="CO410" s="459"/>
      <c r="CP410" s="459"/>
      <c r="CQ410" s="459"/>
      <c r="CR410" s="459"/>
      <c r="CS410" s="459"/>
      <c r="CT410" s="459"/>
      <c r="CU410" s="459"/>
      <c r="CV410" s="459"/>
      <c r="CW410" s="459"/>
      <c r="CX410" s="459"/>
      <c r="CY410" s="459"/>
      <c r="CZ410" s="459"/>
      <c r="DA410" s="459"/>
      <c r="DB410" s="459"/>
      <c r="DC410" s="459"/>
      <c r="DD410" s="459"/>
      <c r="DE410" s="459"/>
      <c r="DF410" s="459"/>
      <c r="DG410" s="459"/>
      <c r="DH410" s="459"/>
      <c r="DI410" s="459"/>
      <c r="DJ410" s="459"/>
      <c r="DK410" s="459"/>
      <c r="DL410" s="459"/>
      <c r="DM410" s="459"/>
      <c r="DN410" s="459"/>
    </row>
    <row r="411" spans="1:18" ht="16.5" customHeight="1">
      <c r="A411" s="17" t="s">
        <v>680</v>
      </c>
      <c r="B411" s="18"/>
      <c r="C411" s="7" t="s">
        <v>681</v>
      </c>
      <c r="D411" s="7" t="e">
        <f>#REF!+D416+D417</f>
        <v>#REF!</v>
      </c>
      <c r="E411" s="7" t="e">
        <f>#REF!+E416+E417+E412</f>
        <v>#REF!</v>
      </c>
      <c r="F411" s="7" t="e">
        <f>#REF!+F416+F417+F412</f>
        <v>#REF!</v>
      </c>
      <c r="G411" s="7" t="e">
        <f>#REF!+G416+G417</f>
        <v>#REF!</v>
      </c>
      <c r="H411" s="7" t="e">
        <f>#REF!+H412+H415+H413+H414+#REF!</f>
        <v>#REF!</v>
      </c>
      <c r="I411" s="7" t="e">
        <f>#REF!+I412+I415+I413+I414+#REF!</f>
        <v>#REF!</v>
      </c>
      <c r="J411" s="7" t="e">
        <f>#REF!+J412+J415+J413+J414+#REF!</f>
        <v>#REF!</v>
      </c>
      <c r="K411" s="7">
        <f>SUM(K412:K415)</f>
        <v>3538013</v>
      </c>
      <c r="L411" s="7">
        <f>SUM(L412:L415)</f>
        <v>3789676</v>
      </c>
      <c r="M411" s="7">
        <f>SUM(M412:M415)</f>
        <v>0</v>
      </c>
      <c r="N411" s="7">
        <f>SUM(N412:N415)</f>
        <v>3789676</v>
      </c>
      <c r="O411" s="7">
        <f>SUM(O412:O415)</f>
        <v>0</v>
      </c>
      <c r="P411" s="454">
        <f t="shared" si="80"/>
        <v>1.0711311688227263</v>
      </c>
      <c r="Q411" s="292">
        <f t="shared" si="77"/>
        <v>0.10139759651321945</v>
      </c>
      <c r="R411" s="293">
        <f t="shared" si="78"/>
        <v>0.11556474948177434</v>
      </c>
    </row>
    <row r="412" spans="1:18" ht="14.25" customHeight="1">
      <c r="A412" s="17"/>
      <c r="B412" s="18" t="s">
        <v>682</v>
      </c>
      <c r="C412" s="29" t="s">
        <v>439</v>
      </c>
      <c r="D412" s="20"/>
      <c r="E412" s="20">
        <v>0</v>
      </c>
      <c r="F412" s="20">
        <v>9135</v>
      </c>
      <c r="G412" s="20">
        <v>0</v>
      </c>
      <c r="H412" s="20">
        <v>100000</v>
      </c>
      <c r="I412" s="20">
        <v>0</v>
      </c>
      <c r="J412" s="20">
        <v>0</v>
      </c>
      <c r="K412" s="20">
        <v>3000</v>
      </c>
      <c r="L412" s="20">
        <v>250000</v>
      </c>
      <c r="M412" s="20">
        <v>0</v>
      </c>
      <c r="N412" s="21">
        <f>L412</f>
        <v>250000</v>
      </c>
      <c r="O412" s="19">
        <v>0</v>
      </c>
      <c r="P412" s="454">
        <f t="shared" si="80"/>
        <v>83.33333333333333</v>
      </c>
      <c r="Q412" s="292">
        <f aca="true" t="shared" si="82" ref="Q412:Q428">K412/$K$662</f>
        <v>8.597842617866535E-05</v>
      </c>
      <c r="R412" s="293">
        <f aca="true" t="shared" si="83" ref="R412:R428">L412/$L$662</f>
        <v>0.007623656315327111</v>
      </c>
    </row>
    <row r="413" spans="1:18" ht="21.75" customHeight="1">
      <c r="A413" s="17"/>
      <c r="B413" s="18" t="s">
        <v>515</v>
      </c>
      <c r="C413" s="249" t="s">
        <v>374</v>
      </c>
      <c r="D413" s="20"/>
      <c r="E413" s="20"/>
      <c r="F413" s="20"/>
      <c r="G413" s="20"/>
      <c r="H413" s="20">
        <v>5011670</v>
      </c>
      <c r="I413" s="20">
        <v>0</v>
      </c>
      <c r="J413" s="20">
        <v>0</v>
      </c>
      <c r="K413" s="20">
        <v>55065</v>
      </c>
      <c r="L413" s="20">
        <v>49676</v>
      </c>
      <c r="M413" s="20">
        <v>0</v>
      </c>
      <c r="N413" s="21">
        <f>L413</f>
        <v>49676</v>
      </c>
      <c r="O413" s="19">
        <v>0</v>
      </c>
      <c r="P413" s="454">
        <f t="shared" si="80"/>
        <v>0.9021338418232997</v>
      </c>
      <c r="Q413" s="292">
        <f t="shared" si="82"/>
        <v>0.0015781340125094025</v>
      </c>
      <c r="R413" s="293">
        <f t="shared" si="83"/>
        <v>0.0015148510044807582</v>
      </c>
    </row>
    <row r="414" spans="1:18" ht="23.25" customHeight="1">
      <c r="A414" s="17"/>
      <c r="B414" s="18" t="s">
        <v>765</v>
      </c>
      <c r="C414" s="249" t="s">
        <v>374</v>
      </c>
      <c r="D414" s="20"/>
      <c r="E414" s="20"/>
      <c r="F414" s="20"/>
      <c r="G414" s="20"/>
      <c r="H414" s="20">
        <v>8600</v>
      </c>
      <c r="I414" s="20">
        <v>0</v>
      </c>
      <c r="J414" s="20">
        <v>0</v>
      </c>
      <c r="K414" s="20">
        <v>2617500</v>
      </c>
      <c r="L414" s="20">
        <v>2617500</v>
      </c>
      <c r="M414" s="20">
        <v>0</v>
      </c>
      <c r="N414" s="21">
        <f>L414</f>
        <v>2617500</v>
      </c>
      <c r="O414" s="19">
        <v>0</v>
      </c>
      <c r="P414" s="454">
        <f t="shared" si="80"/>
        <v>1</v>
      </c>
      <c r="Q414" s="292">
        <f t="shared" si="82"/>
        <v>0.07501617684088552</v>
      </c>
      <c r="R414" s="293">
        <f t="shared" si="83"/>
        <v>0.07981968162147485</v>
      </c>
    </row>
    <row r="415" spans="1:18" ht="21" customHeight="1">
      <c r="A415" s="17"/>
      <c r="B415" s="18" t="s">
        <v>988</v>
      </c>
      <c r="C415" s="249" t="s">
        <v>374</v>
      </c>
      <c r="D415" s="20"/>
      <c r="E415" s="20"/>
      <c r="F415" s="20"/>
      <c r="G415" s="20"/>
      <c r="H415" s="20">
        <v>74000</v>
      </c>
      <c r="I415" s="20">
        <v>0</v>
      </c>
      <c r="J415" s="20">
        <v>0</v>
      </c>
      <c r="K415" s="20">
        <v>862448</v>
      </c>
      <c r="L415" s="20">
        <v>872500</v>
      </c>
      <c r="M415" s="20">
        <v>0</v>
      </c>
      <c r="N415" s="21">
        <f>L415</f>
        <v>872500</v>
      </c>
      <c r="O415" s="19">
        <v>0</v>
      </c>
      <c r="P415" s="454">
        <f t="shared" si="80"/>
        <v>1.0116551954436672</v>
      </c>
      <c r="Q415" s="292">
        <f t="shared" si="82"/>
        <v>0.024717307233645857</v>
      </c>
      <c r="R415" s="293">
        <f t="shared" si="83"/>
        <v>0.026606560540491618</v>
      </c>
    </row>
    <row r="416" spans="1:18" ht="18.75" customHeight="1" hidden="1">
      <c r="A416" s="28"/>
      <c r="B416" s="28" t="s">
        <v>682</v>
      </c>
      <c r="C416" s="29" t="s">
        <v>683</v>
      </c>
      <c r="D416" s="20">
        <v>74531</v>
      </c>
      <c r="E416" s="20">
        <v>0</v>
      </c>
      <c r="F416" s="20">
        <v>0</v>
      </c>
      <c r="G416" s="20">
        <v>0</v>
      </c>
      <c r="H416" s="8"/>
      <c r="I416" s="8"/>
      <c r="J416" s="8"/>
      <c r="K416" s="8"/>
      <c r="L416" s="8"/>
      <c r="M416" s="20"/>
      <c r="N416" s="21"/>
      <c r="O416" s="21"/>
      <c r="P416" s="454" t="e">
        <f t="shared" si="80"/>
        <v>#DIV/0!</v>
      </c>
      <c r="Q416" s="292">
        <f t="shared" si="82"/>
        <v>0</v>
      </c>
      <c r="R416" s="293">
        <f t="shared" si="83"/>
        <v>0</v>
      </c>
    </row>
    <row r="417" spans="1:18" ht="0.75" customHeight="1">
      <c r="A417" s="28"/>
      <c r="B417" s="28" t="s">
        <v>684</v>
      </c>
      <c r="C417" s="29" t="s">
        <v>685</v>
      </c>
      <c r="D417" s="20">
        <v>40000</v>
      </c>
      <c r="E417" s="20">
        <v>173000</v>
      </c>
      <c r="F417" s="20">
        <v>50000</v>
      </c>
      <c r="G417" s="20">
        <v>0</v>
      </c>
      <c r="H417" s="8"/>
      <c r="I417" s="8"/>
      <c r="J417" s="8"/>
      <c r="K417" s="8"/>
      <c r="L417" s="8"/>
      <c r="M417" s="20">
        <v>0</v>
      </c>
      <c r="N417" s="21">
        <f>H417</f>
        <v>0</v>
      </c>
      <c r="O417" s="21">
        <v>0</v>
      </c>
      <c r="P417" s="454" t="e">
        <f t="shared" si="80"/>
        <v>#DIV/0!</v>
      </c>
      <c r="Q417" s="292">
        <f t="shared" si="82"/>
        <v>0</v>
      </c>
      <c r="R417" s="293">
        <f t="shared" si="83"/>
        <v>0</v>
      </c>
    </row>
    <row r="418" spans="1:18" ht="0.75" customHeight="1">
      <c r="A418" s="28"/>
      <c r="B418" s="28"/>
      <c r="C418" s="29"/>
      <c r="D418" s="20"/>
      <c r="E418" s="20"/>
      <c r="F418" s="20"/>
      <c r="G418" s="20"/>
      <c r="H418" s="8"/>
      <c r="I418" s="8"/>
      <c r="J418" s="8"/>
      <c r="K418" s="8"/>
      <c r="L418" s="8"/>
      <c r="M418" s="20"/>
      <c r="N418" s="21"/>
      <c r="O418" s="21"/>
      <c r="P418" s="454"/>
      <c r="Q418" s="292">
        <f t="shared" si="82"/>
        <v>0</v>
      </c>
      <c r="R418" s="293">
        <f t="shared" si="83"/>
        <v>0</v>
      </c>
    </row>
    <row r="419" spans="1:18" s="37" customFormat="1" ht="26.25" customHeight="1">
      <c r="A419" s="17" t="s">
        <v>785</v>
      </c>
      <c r="B419" s="17"/>
      <c r="C419" s="4" t="s">
        <v>786</v>
      </c>
      <c r="D419" s="7"/>
      <c r="E419" s="7"/>
      <c r="F419" s="7"/>
      <c r="G419" s="7"/>
      <c r="H419" s="7"/>
      <c r="I419" s="7"/>
      <c r="J419" s="7"/>
      <c r="K419" s="7">
        <f>SUM(K423:K428)</f>
        <v>71470</v>
      </c>
      <c r="L419" s="7">
        <f>SUM(L420:L428)</f>
        <v>8752</v>
      </c>
      <c r="M419" s="7">
        <f>SUM(M423:M428)</f>
        <v>0</v>
      </c>
      <c r="N419" s="7">
        <f>SUM(N420:N428)</f>
        <v>8752</v>
      </c>
      <c r="O419" s="7">
        <f>SUM(O423:O428)</f>
        <v>0</v>
      </c>
      <c r="P419" s="454">
        <f>L419/K419</f>
        <v>0.12245697495452637</v>
      </c>
      <c r="Q419" s="292">
        <f t="shared" si="82"/>
        <v>0.0020482927063297375</v>
      </c>
      <c r="R419" s="293">
        <f t="shared" si="83"/>
        <v>0.0002668889602869715</v>
      </c>
    </row>
    <row r="420" spans="1:18" s="37" customFormat="1" ht="23.25" customHeight="1">
      <c r="A420" s="17"/>
      <c r="B420" s="30" t="s">
        <v>475</v>
      </c>
      <c r="C420" s="11" t="s">
        <v>476</v>
      </c>
      <c r="D420" s="7"/>
      <c r="E420" s="7"/>
      <c r="F420" s="7"/>
      <c r="G420" s="7"/>
      <c r="H420" s="7"/>
      <c r="I420" s="7"/>
      <c r="J420" s="7"/>
      <c r="K420" s="20">
        <v>0</v>
      </c>
      <c r="L420" s="20">
        <v>4156</v>
      </c>
      <c r="M420" s="20"/>
      <c r="N420" s="20">
        <f>L420</f>
        <v>4156</v>
      </c>
      <c r="O420" s="20"/>
      <c r="P420" s="454">
        <v>0</v>
      </c>
      <c r="Q420" s="292">
        <f t="shared" si="82"/>
        <v>0</v>
      </c>
      <c r="R420" s="293">
        <f t="shared" si="83"/>
        <v>0.0001267356625859979</v>
      </c>
    </row>
    <row r="421" spans="1:18" s="37" customFormat="1" ht="17.25" customHeight="1">
      <c r="A421" s="17"/>
      <c r="B421" s="30" t="s">
        <v>508</v>
      </c>
      <c r="C421" s="11" t="s">
        <v>554</v>
      </c>
      <c r="D421" s="7"/>
      <c r="E421" s="7"/>
      <c r="F421" s="7"/>
      <c r="G421" s="7"/>
      <c r="H421" s="7"/>
      <c r="I421" s="7"/>
      <c r="J421" s="7"/>
      <c r="K421" s="20">
        <v>0</v>
      </c>
      <c r="L421" s="20">
        <v>756</v>
      </c>
      <c r="M421" s="20"/>
      <c r="N421" s="20">
        <f aca="true" t="shared" si="84" ref="N421:N428">L421</f>
        <v>756</v>
      </c>
      <c r="O421" s="20"/>
      <c r="P421" s="454">
        <v>0</v>
      </c>
      <c r="Q421" s="292">
        <f t="shared" si="82"/>
        <v>0</v>
      </c>
      <c r="R421" s="293">
        <f t="shared" si="83"/>
        <v>2.3053936697549184E-05</v>
      </c>
    </row>
    <row r="422" spans="1:18" s="37" customFormat="1" ht="16.5" customHeight="1">
      <c r="A422" s="17"/>
      <c r="B422" s="30" t="s">
        <v>483</v>
      </c>
      <c r="C422" s="11" t="s">
        <v>484</v>
      </c>
      <c r="D422" s="7"/>
      <c r="E422" s="7"/>
      <c r="F422" s="7"/>
      <c r="G422" s="7"/>
      <c r="H422" s="7"/>
      <c r="I422" s="7"/>
      <c r="J422" s="7"/>
      <c r="K422" s="20">
        <v>0</v>
      </c>
      <c r="L422" s="20">
        <v>102</v>
      </c>
      <c r="M422" s="20"/>
      <c r="N422" s="20">
        <f t="shared" si="84"/>
        <v>102</v>
      </c>
      <c r="O422" s="20"/>
      <c r="P422" s="454">
        <v>0</v>
      </c>
      <c r="Q422" s="292">
        <f t="shared" si="82"/>
        <v>0</v>
      </c>
      <c r="R422" s="293">
        <f t="shared" si="83"/>
        <v>3.1104517766534615E-06</v>
      </c>
    </row>
    <row r="423" spans="1:18" ht="12.75" customHeight="1">
      <c r="A423" s="28"/>
      <c r="B423" s="28" t="s">
        <v>485</v>
      </c>
      <c r="C423" s="29" t="s">
        <v>486</v>
      </c>
      <c r="D423" s="20"/>
      <c r="E423" s="20"/>
      <c r="F423" s="20"/>
      <c r="G423" s="20"/>
      <c r="H423" s="8"/>
      <c r="I423" s="8"/>
      <c r="J423" s="8"/>
      <c r="K423" s="8">
        <v>15370</v>
      </c>
      <c r="L423" s="8">
        <v>3550</v>
      </c>
      <c r="M423" s="20">
        <v>0</v>
      </c>
      <c r="N423" s="20">
        <f t="shared" si="84"/>
        <v>3550</v>
      </c>
      <c r="O423" s="21">
        <v>0</v>
      </c>
      <c r="P423" s="454">
        <f>L423/K423</f>
        <v>0.23096942094990242</v>
      </c>
      <c r="Q423" s="292">
        <f t="shared" si="82"/>
        <v>0.00044049613678869546</v>
      </c>
      <c r="R423" s="293">
        <f t="shared" si="83"/>
        <v>0.00010825591967764498</v>
      </c>
    </row>
    <row r="424" spans="1:18" ht="16.5" customHeight="1">
      <c r="A424" s="17"/>
      <c r="B424" s="28" t="s">
        <v>487</v>
      </c>
      <c r="C424" s="29" t="s">
        <v>787</v>
      </c>
      <c r="D424" s="20"/>
      <c r="E424" s="20"/>
      <c r="F424" s="20"/>
      <c r="G424" s="20"/>
      <c r="H424" s="8"/>
      <c r="I424" s="8"/>
      <c r="J424" s="8"/>
      <c r="K424" s="8">
        <v>935</v>
      </c>
      <c r="L424" s="8">
        <v>0</v>
      </c>
      <c r="M424" s="20">
        <v>0</v>
      </c>
      <c r="N424" s="20">
        <f t="shared" si="84"/>
        <v>0</v>
      </c>
      <c r="O424" s="21">
        <v>0</v>
      </c>
      <c r="P424" s="454">
        <f t="shared" si="80"/>
        <v>0</v>
      </c>
      <c r="Q424" s="292">
        <f t="shared" si="82"/>
        <v>2.67966094923507E-05</v>
      </c>
      <c r="R424" s="293">
        <f t="shared" si="83"/>
        <v>0</v>
      </c>
    </row>
    <row r="425" spans="1:18" ht="15" customHeight="1">
      <c r="A425" s="17"/>
      <c r="B425" s="28" t="s">
        <v>491</v>
      </c>
      <c r="C425" s="29" t="s">
        <v>586</v>
      </c>
      <c r="D425" s="20"/>
      <c r="E425" s="20"/>
      <c r="F425" s="20"/>
      <c r="G425" s="20"/>
      <c r="H425" s="8"/>
      <c r="I425" s="8"/>
      <c r="J425" s="8"/>
      <c r="K425" s="8">
        <v>6515</v>
      </c>
      <c r="L425" s="8">
        <v>0</v>
      </c>
      <c r="M425" s="20">
        <v>0</v>
      </c>
      <c r="N425" s="20">
        <f t="shared" si="84"/>
        <v>0</v>
      </c>
      <c r="O425" s="21">
        <v>0</v>
      </c>
      <c r="P425" s="454">
        <f t="shared" si="80"/>
        <v>0</v>
      </c>
      <c r="Q425" s="292">
        <f t="shared" si="82"/>
        <v>0.00018671648218466824</v>
      </c>
      <c r="R425" s="293">
        <f t="shared" si="83"/>
        <v>0</v>
      </c>
    </row>
    <row r="426" spans="1:18" ht="15" customHeight="1">
      <c r="A426" s="17"/>
      <c r="B426" s="28" t="s">
        <v>497</v>
      </c>
      <c r="C426" s="8" t="s">
        <v>498</v>
      </c>
      <c r="D426" s="20"/>
      <c r="E426" s="20"/>
      <c r="F426" s="20"/>
      <c r="G426" s="20"/>
      <c r="H426" s="8"/>
      <c r="I426" s="8"/>
      <c r="J426" s="8"/>
      <c r="K426" s="8">
        <v>0</v>
      </c>
      <c r="L426" s="8">
        <v>188</v>
      </c>
      <c r="M426" s="20"/>
      <c r="N426" s="20">
        <f t="shared" si="84"/>
        <v>188</v>
      </c>
      <c r="O426" s="21"/>
      <c r="P426" s="454">
        <v>0</v>
      </c>
      <c r="Q426" s="292">
        <f t="shared" si="82"/>
        <v>0</v>
      </c>
      <c r="R426" s="293">
        <f t="shared" si="83"/>
        <v>5.732989549125988E-06</v>
      </c>
    </row>
    <row r="427" spans="1:18" ht="14.25" customHeight="1">
      <c r="A427" s="17"/>
      <c r="B427" s="28" t="s">
        <v>515</v>
      </c>
      <c r="C427" s="29" t="s">
        <v>989</v>
      </c>
      <c r="D427" s="20"/>
      <c r="E427" s="20"/>
      <c r="F427" s="20"/>
      <c r="G427" s="20"/>
      <c r="H427" s="8"/>
      <c r="I427" s="8"/>
      <c r="J427" s="8"/>
      <c r="K427" s="8">
        <v>0</v>
      </c>
      <c r="L427" s="8">
        <v>0</v>
      </c>
      <c r="M427" s="20">
        <v>0</v>
      </c>
      <c r="N427" s="20">
        <f t="shared" si="84"/>
        <v>0</v>
      </c>
      <c r="O427" s="21">
        <v>0</v>
      </c>
      <c r="P427" s="454">
        <v>0</v>
      </c>
      <c r="Q427" s="292">
        <f t="shared" si="82"/>
        <v>0</v>
      </c>
      <c r="R427" s="293">
        <f t="shared" si="83"/>
        <v>0</v>
      </c>
    </row>
    <row r="428" spans="1:18" ht="12.75" customHeight="1">
      <c r="A428" s="17"/>
      <c r="B428" s="28" t="s">
        <v>517</v>
      </c>
      <c r="C428" s="29" t="s">
        <v>376</v>
      </c>
      <c r="D428" s="20"/>
      <c r="E428" s="20"/>
      <c r="F428" s="20"/>
      <c r="G428" s="20"/>
      <c r="H428" s="8"/>
      <c r="I428" s="8"/>
      <c r="J428" s="8"/>
      <c r="K428" s="8">
        <v>48650</v>
      </c>
      <c r="L428" s="8">
        <v>0</v>
      </c>
      <c r="M428" s="20">
        <v>0</v>
      </c>
      <c r="N428" s="20">
        <f t="shared" si="84"/>
        <v>0</v>
      </c>
      <c r="O428" s="21">
        <v>0</v>
      </c>
      <c r="P428" s="454">
        <f t="shared" si="80"/>
        <v>0</v>
      </c>
      <c r="Q428" s="292">
        <f t="shared" si="82"/>
        <v>0.0013942834778640232</v>
      </c>
      <c r="R428" s="293">
        <f t="shared" si="83"/>
        <v>0</v>
      </c>
    </row>
    <row r="429" spans="1:18" ht="18.75" customHeight="1" hidden="1">
      <c r="A429" s="17" t="s">
        <v>686</v>
      </c>
      <c r="B429" s="28"/>
      <c r="C429" s="4" t="s">
        <v>687</v>
      </c>
      <c r="D429" s="7">
        <f>D430</f>
        <v>29325</v>
      </c>
      <c r="E429" s="7">
        <f>E430</f>
        <v>0</v>
      </c>
      <c r="F429" s="7"/>
      <c r="G429" s="7"/>
      <c r="H429" s="8"/>
      <c r="I429" s="8"/>
      <c r="J429" s="8"/>
      <c r="K429" s="8"/>
      <c r="L429" s="8"/>
      <c r="M429" s="7"/>
      <c r="N429" s="21">
        <f aca="true" t="shared" si="85" ref="N429:N442">L429</f>
        <v>0</v>
      </c>
      <c r="O429" s="19"/>
      <c r="P429" s="454" t="e">
        <f t="shared" si="80"/>
        <v>#DIV/0!</v>
      </c>
      <c r="Q429" s="292">
        <f aca="true" t="shared" si="86" ref="Q429:Q447">K429/$K$662</f>
        <v>0</v>
      </c>
      <c r="R429" s="293">
        <f aca="true" t="shared" si="87" ref="R429:R447">L429/$L$662</f>
        <v>0</v>
      </c>
    </row>
    <row r="430" spans="1:18" ht="18" customHeight="1" hidden="1">
      <c r="A430" s="28"/>
      <c r="B430" s="28" t="s">
        <v>682</v>
      </c>
      <c r="C430" s="29" t="s">
        <v>683</v>
      </c>
      <c r="D430" s="20">
        <v>29325</v>
      </c>
      <c r="E430" s="20">
        <v>0</v>
      </c>
      <c r="F430" s="20"/>
      <c r="G430" s="20"/>
      <c r="H430" s="8"/>
      <c r="I430" s="8"/>
      <c r="J430" s="8"/>
      <c r="K430" s="8"/>
      <c r="L430" s="8"/>
      <c r="M430" s="20"/>
      <c r="N430" s="21">
        <f t="shared" si="85"/>
        <v>0</v>
      </c>
      <c r="O430" s="21">
        <v>0</v>
      </c>
      <c r="P430" s="454" t="e">
        <f t="shared" si="80"/>
        <v>#DIV/0!</v>
      </c>
      <c r="Q430" s="292">
        <f t="shared" si="86"/>
        <v>0</v>
      </c>
      <c r="R430" s="293">
        <f t="shared" si="87"/>
        <v>0</v>
      </c>
    </row>
    <row r="431" spans="1:18" ht="15.75" customHeight="1" hidden="1">
      <c r="A431" s="17" t="s">
        <v>688</v>
      </c>
      <c r="B431" s="17"/>
      <c r="C431" s="7" t="s">
        <v>689</v>
      </c>
      <c r="D431" s="7">
        <f>D434+D435+D436+D438</f>
        <v>1222573</v>
      </c>
      <c r="E431" s="7">
        <f aca="true" t="shared" si="88" ref="E431:M431">E434+E435+E436+E437+E438+E439+E440</f>
        <v>1330000</v>
      </c>
      <c r="F431" s="7">
        <f t="shared" si="88"/>
        <v>0</v>
      </c>
      <c r="G431" s="7">
        <f t="shared" si="88"/>
        <v>0</v>
      </c>
      <c r="H431" s="8"/>
      <c r="I431" s="8"/>
      <c r="J431" s="8"/>
      <c r="K431" s="8"/>
      <c r="L431" s="8"/>
      <c r="M431" s="7">
        <f t="shared" si="88"/>
        <v>0</v>
      </c>
      <c r="N431" s="21">
        <f t="shared" si="85"/>
        <v>0</v>
      </c>
      <c r="O431" s="19">
        <f>O434+O435+O436+O437+O438</f>
        <v>0</v>
      </c>
      <c r="P431" s="454" t="e">
        <f t="shared" si="80"/>
        <v>#DIV/0!</v>
      </c>
      <c r="Q431" s="292">
        <f t="shared" si="86"/>
        <v>0</v>
      </c>
      <c r="R431" s="293">
        <f t="shared" si="87"/>
        <v>0</v>
      </c>
    </row>
    <row r="432" spans="1:18" ht="13.5" customHeight="1" hidden="1">
      <c r="A432" s="17"/>
      <c r="B432" s="30" t="s">
        <v>461</v>
      </c>
      <c r="C432" s="20" t="s">
        <v>690</v>
      </c>
      <c r="D432" s="20"/>
      <c r="E432" s="20"/>
      <c r="F432" s="20"/>
      <c r="G432" s="20"/>
      <c r="H432" s="7"/>
      <c r="I432" s="7"/>
      <c r="J432" s="7"/>
      <c r="K432" s="7"/>
      <c r="L432" s="7"/>
      <c r="M432" s="20"/>
      <c r="N432" s="21">
        <f t="shared" si="85"/>
        <v>0</v>
      </c>
      <c r="O432" s="21"/>
      <c r="P432" s="454" t="e">
        <f t="shared" si="80"/>
        <v>#DIV/0!</v>
      </c>
      <c r="Q432" s="292">
        <f t="shared" si="86"/>
        <v>0</v>
      </c>
      <c r="R432" s="293">
        <f t="shared" si="87"/>
        <v>0</v>
      </c>
    </row>
    <row r="433" spans="1:18" ht="16.5" customHeight="1" hidden="1">
      <c r="A433" s="17"/>
      <c r="B433" s="30" t="s">
        <v>473</v>
      </c>
      <c r="C433" s="20" t="s">
        <v>691</v>
      </c>
      <c r="D433" s="20"/>
      <c r="E433" s="20"/>
      <c r="F433" s="20"/>
      <c r="G433" s="20"/>
      <c r="H433" s="8"/>
      <c r="I433" s="8"/>
      <c r="J433" s="8"/>
      <c r="K433" s="8"/>
      <c r="L433" s="8"/>
      <c r="M433" s="20"/>
      <c r="N433" s="21">
        <f t="shared" si="85"/>
        <v>0</v>
      </c>
      <c r="O433" s="21"/>
      <c r="P433" s="454" t="e">
        <f t="shared" si="80"/>
        <v>#DIV/0!</v>
      </c>
      <c r="Q433" s="292">
        <f t="shared" si="86"/>
        <v>0</v>
      </c>
      <c r="R433" s="293">
        <f t="shared" si="87"/>
        <v>0</v>
      </c>
    </row>
    <row r="434" spans="1:18" ht="17.25" customHeight="1" hidden="1">
      <c r="A434" s="657"/>
      <c r="B434" s="28" t="s">
        <v>475</v>
      </c>
      <c r="C434" s="11" t="s">
        <v>476</v>
      </c>
      <c r="D434" s="8">
        <v>921763</v>
      </c>
      <c r="E434" s="8">
        <v>981678</v>
      </c>
      <c r="F434" s="8">
        <v>0</v>
      </c>
      <c r="G434" s="8">
        <v>0</v>
      </c>
      <c r="H434" s="7"/>
      <c r="I434" s="7"/>
      <c r="J434" s="7"/>
      <c r="K434" s="7"/>
      <c r="L434" s="7"/>
      <c r="M434" s="8">
        <f>H434</f>
        <v>0</v>
      </c>
      <c r="N434" s="21">
        <f t="shared" si="85"/>
        <v>0</v>
      </c>
      <c r="O434" s="24">
        <v>0</v>
      </c>
      <c r="P434" s="454" t="e">
        <f t="shared" si="80"/>
        <v>#DIV/0!</v>
      </c>
      <c r="Q434" s="292">
        <f t="shared" si="86"/>
        <v>0</v>
      </c>
      <c r="R434" s="293">
        <f t="shared" si="87"/>
        <v>0</v>
      </c>
    </row>
    <row r="435" spans="1:18" ht="16.5" customHeight="1" hidden="1">
      <c r="A435" s="657"/>
      <c r="B435" s="28" t="s">
        <v>479</v>
      </c>
      <c r="C435" s="11" t="s">
        <v>480</v>
      </c>
      <c r="D435" s="8">
        <v>73529</v>
      </c>
      <c r="E435" s="8">
        <v>75873</v>
      </c>
      <c r="F435" s="8">
        <v>0</v>
      </c>
      <c r="G435" s="8">
        <v>0</v>
      </c>
      <c r="H435" s="8"/>
      <c r="I435" s="8"/>
      <c r="J435" s="8"/>
      <c r="K435" s="8"/>
      <c r="L435" s="8"/>
      <c r="M435" s="8">
        <f>H435</f>
        <v>0</v>
      </c>
      <c r="N435" s="21">
        <f t="shared" si="85"/>
        <v>0</v>
      </c>
      <c r="O435" s="24">
        <v>0</v>
      </c>
      <c r="P435" s="454" t="e">
        <f t="shared" si="80"/>
        <v>#DIV/0!</v>
      </c>
      <c r="Q435" s="292">
        <f t="shared" si="86"/>
        <v>0</v>
      </c>
      <c r="R435" s="293">
        <f t="shared" si="87"/>
        <v>0</v>
      </c>
    </row>
    <row r="436" spans="1:18" ht="17.25" customHeight="1" hidden="1">
      <c r="A436" s="657"/>
      <c r="B436" s="25" t="s">
        <v>532</v>
      </c>
      <c r="C436" s="11" t="s">
        <v>554</v>
      </c>
      <c r="D436" s="8">
        <v>188123</v>
      </c>
      <c r="E436" s="8">
        <v>179484</v>
      </c>
      <c r="F436" s="8">
        <v>0</v>
      </c>
      <c r="G436" s="8">
        <v>0</v>
      </c>
      <c r="H436" s="8"/>
      <c r="I436" s="8"/>
      <c r="J436" s="8"/>
      <c r="K436" s="8"/>
      <c r="L436" s="8"/>
      <c r="M436" s="8">
        <f>H436</f>
        <v>0</v>
      </c>
      <c r="N436" s="21">
        <f t="shared" si="85"/>
        <v>0</v>
      </c>
      <c r="O436" s="24">
        <v>0</v>
      </c>
      <c r="P436" s="454" t="e">
        <f t="shared" si="80"/>
        <v>#DIV/0!</v>
      </c>
      <c r="Q436" s="292">
        <f t="shared" si="86"/>
        <v>0</v>
      </c>
      <c r="R436" s="293">
        <f t="shared" si="87"/>
        <v>0</v>
      </c>
    </row>
    <row r="437" spans="1:18" ht="17.25" customHeight="1" hidden="1">
      <c r="A437" s="657"/>
      <c r="B437" s="25" t="s">
        <v>483</v>
      </c>
      <c r="C437" s="11" t="s">
        <v>484</v>
      </c>
      <c r="D437" s="8"/>
      <c r="E437" s="8">
        <v>25000</v>
      </c>
      <c r="F437" s="8">
        <v>0</v>
      </c>
      <c r="G437" s="8">
        <v>0</v>
      </c>
      <c r="H437" s="8"/>
      <c r="I437" s="8"/>
      <c r="J437" s="8"/>
      <c r="K437" s="8"/>
      <c r="L437" s="8"/>
      <c r="M437" s="8">
        <f>H437</f>
        <v>0</v>
      </c>
      <c r="N437" s="21">
        <f t="shared" si="85"/>
        <v>0</v>
      </c>
      <c r="O437" s="24">
        <v>0</v>
      </c>
      <c r="P437" s="454" t="e">
        <f t="shared" si="80"/>
        <v>#DIV/0!</v>
      </c>
      <c r="Q437" s="292">
        <f t="shared" si="86"/>
        <v>0</v>
      </c>
      <c r="R437" s="293">
        <f t="shared" si="87"/>
        <v>0</v>
      </c>
    </row>
    <row r="438" spans="1:18" ht="18" customHeight="1" hidden="1">
      <c r="A438" s="657"/>
      <c r="B438" s="28"/>
      <c r="C438" s="8" t="s">
        <v>523</v>
      </c>
      <c r="D438" s="8">
        <v>39158</v>
      </c>
      <c r="E438" s="8">
        <v>21000</v>
      </c>
      <c r="F438" s="8">
        <v>0</v>
      </c>
      <c r="G438" s="8">
        <v>0</v>
      </c>
      <c r="H438" s="7"/>
      <c r="I438" s="7"/>
      <c r="J438" s="7"/>
      <c r="K438" s="7"/>
      <c r="L438" s="7"/>
      <c r="M438" s="8">
        <f>H438</f>
        <v>0</v>
      </c>
      <c r="N438" s="21">
        <f t="shared" si="85"/>
        <v>0</v>
      </c>
      <c r="O438" s="24">
        <v>0</v>
      </c>
      <c r="P438" s="454" t="e">
        <f t="shared" si="80"/>
        <v>#DIV/0!</v>
      </c>
      <c r="Q438" s="292">
        <f t="shared" si="86"/>
        <v>0</v>
      </c>
      <c r="R438" s="293">
        <f t="shared" si="87"/>
        <v>0</v>
      </c>
    </row>
    <row r="439" spans="1:18" ht="15.75" customHeight="1" hidden="1">
      <c r="A439" s="23"/>
      <c r="B439" s="28" t="s">
        <v>487</v>
      </c>
      <c r="C439" s="8" t="s">
        <v>584</v>
      </c>
      <c r="D439" s="8"/>
      <c r="E439" s="8">
        <v>17179</v>
      </c>
      <c r="F439" s="8">
        <v>0</v>
      </c>
      <c r="G439" s="8">
        <v>0</v>
      </c>
      <c r="H439" s="7"/>
      <c r="I439" s="7"/>
      <c r="J439" s="7"/>
      <c r="K439" s="7"/>
      <c r="L439" s="7"/>
      <c r="M439" s="8"/>
      <c r="N439" s="21">
        <f t="shared" si="85"/>
        <v>0</v>
      </c>
      <c r="O439" s="24"/>
      <c r="P439" s="454" t="e">
        <f t="shared" si="80"/>
        <v>#DIV/0!</v>
      </c>
      <c r="Q439" s="292">
        <f t="shared" si="86"/>
        <v>0</v>
      </c>
      <c r="R439" s="293">
        <f t="shared" si="87"/>
        <v>0</v>
      </c>
    </row>
    <row r="440" spans="1:18" ht="15.75" customHeight="1" hidden="1">
      <c r="A440" s="23"/>
      <c r="B440" s="28" t="s">
        <v>497</v>
      </c>
      <c r="C440" s="8" t="s">
        <v>498</v>
      </c>
      <c r="D440" s="8"/>
      <c r="E440" s="8">
        <v>29786</v>
      </c>
      <c r="F440" s="8">
        <v>0</v>
      </c>
      <c r="G440" s="8">
        <v>0</v>
      </c>
      <c r="H440" s="8"/>
      <c r="I440" s="8"/>
      <c r="J440" s="8"/>
      <c r="K440" s="8"/>
      <c r="L440" s="8"/>
      <c r="M440" s="8"/>
      <c r="N440" s="21">
        <f t="shared" si="85"/>
        <v>0</v>
      </c>
      <c r="O440" s="24"/>
      <c r="P440" s="454" t="e">
        <f t="shared" si="80"/>
        <v>#DIV/0!</v>
      </c>
      <c r="Q440" s="292">
        <f t="shared" si="86"/>
        <v>0</v>
      </c>
      <c r="R440" s="293">
        <f t="shared" si="87"/>
        <v>0</v>
      </c>
    </row>
    <row r="441" spans="1:18" ht="15.75" customHeight="1" hidden="1">
      <c r="A441" s="26" t="s">
        <v>692</v>
      </c>
      <c r="B441" s="17"/>
      <c r="C441" s="7" t="s">
        <v>693</v>
      </c>
      <c r="D441" s="7">
        <f>D442</f>
        <v>4495</v>
      </c>
      <c r="E441" s="7">
        <f>E442</f>
        <v>0</v>
      </c>
      <c r="F441" s="7"/>
      <c r="G441" s="7"/>
      <c r="H441" s="8"/>
      <c r="I441" s="8"/>
      <c r="J441" s="8"/>
      <c r="K441" s="8"/>
      <c r="L441" s="8"/>
      <c r="M441" s="7"/>
      <c r="N441" s="21">
        <f t="shared" si="85"/>
        <v>0</v>
      </c>
      <c r="O441" s="19"/>
      <c r="P441" s="454" t="e">
        <f t="shared" si="80"/>
        <v>#DIV/0!</v>
      </c>
      <c r="Q441" s="292">
        <f t="shared" si="86"/>
        <v>0</v>
      </c>
      <c r="R441" s="293">
        <f t="shared" si="87"/>
        <v>0</v>
      </c>
    </row>
    <row r="442" spans="1:18" ht="17.25" customHeight="1" hidden="1">
      <c r="A442" s="23"/>
      <c r="B442" s="28" t="s">
        <v>682</v>
      </c>
      <c r="C442" s="29" t="s">
        <v>683</v>
      </c>
      <c r="D442" s="8">
        <v>4495</v>
      </c>
      <c r="E442" s="8">
        <v>0</v>
      </c>
      <c r="F442" s="8"/>
      <c r="G442" s="8"/>
      <c r="H442" s="8"/>
      <c r="I442" s="8"/>
      <c r="J442" s="8"/>
      <c r="K442" s="8"/>
      <c r="L442" s="8"/>
      <c r="M442" s="8"/>
      <c r="N442" s="21">
        <f t="shared" si="85"/>
        <v>0</v>
      </c>
      <c r="O442" s="24">
        <v>0</v>
      </c>
      <c r="P442" s="454" t="e">
        <f t="shared" si="80"/>
        <v>#DIV/0!</v>
      </c>
      <c r="Q442" s="292">
        <f t="shared" si="86"/>
        <v>0</v>
      </c>
      <c r="R442" s="293">
        <f t="shared" si="87"/>
        <v>0</v>
      </c>
    </row>
    <row r="443" spans="1:18" ht="25.5" customHeight="1">
      <c r="A443" s="26" t="s">
        <v>694</v>
      </c>
      <c r="B443" s="28"/>
      <c r="C443" s="4" t="s">
        <v>695</v>
      </c>
      <c r="D443" s="7">
        <f>D444</f>
        <v>1523330</v>
      </c>
      <c r="E443" s="7">
        <f>E444+E445+E446</f>
        <v>2010880</v>
      </c>
      <c r="F443" s="7">
        <f>F444+F445+F446</f>
        <v>0</v>
      </c>
      <c r="G443" s="7">
        <f>G444+G445+G446</f>
        <v>0</v>
      </c>
      <c r="H443" s="7">
        <f aca="true" t="shared" si="89" ref="H443:O443">H445</f>
        <v>363000</v>
      </c>
      <c r="I443" s="7">
        <f t="shared" si="89"/>
        <v>0</v>
      </c>
      <c r="J443" s="7">
        <f t="shared" si="89"/>
        <v>0</v>
      </c>
      <c r="K443" s="7">
        <f t="shared" si="89"/>
        <v>477000</v>
      </c>
      <c r="L443" s="7">
        <f t="shared" si="89"/>
        <v>545000</v>
      </c>
      <c r="M443" s="7">
        <f t="shared" si="89"/>
        <v>545000</v>
      </c>
      <c r="N443" s="7">
        <f t="shared" si="89"/>
        <v>0</v>
      </c>
      <c r="O443" s="7">
        <f t="shared" si="89"/>
        <v>0</v>
      </c>
      <c r="P443" s="454">
        <f t="shared" si="80"/>
        <v>1.1425576519916143</v>
      </c>
      <c r="Q443" s="292">
        <f t="shared" si="86"/>
        <v>0.01367056976240779</v>
      </c>
      <c r="R443" s="293">
        <f t="shared" si="87"/>
        <v>0.016619570767413102</v>
      </c>
    </row>
    <row r="444" spans="1:18" ht="15" customHeight="1" hidden="1">
      <c r="A444" s="23"/>
      <c r="B444" s="28"/>
      <c r="C444" s="11" t="s">
        <v>523</v>
      </c>
      <c r="D444" s="8">
        <v>1523330</v>
      </c>
      <c r="E444" s="8">
        <v>1927964</v>
      </c>
      <c r="F444" s="8">
        <v>0</v>
      </c>
      <c r="G444" s="8">
        <v>0</v>
      </c>
      <c r="H444" s="8"/>
      <c r="I444" s="8"/>
      <c r="J444" s="8"/>
      <c r="K444" s="8"/>
      <c r="L444" s="8"/>
      <c r="M444" s="8">
        <f>H444</f>
        <v>0</v>
      </c>
      <c r="N444" s="24">
        <v>0</v>
      </c>
      <c r="O444" s="24">
        <v>0</v>
      </c>
      <c r="P444" s="454" t="e">
        <f t="shared" si="80"/>
        <v>#DIV/0!</v>
      </c>
      <c r="Q444" s="292">
        <f t="shared" si="86"/>
        <v>0</v>
      </c>
      <c r="R444" s="293">
        <f t="shared" si="87"/>
        <v>0</v>
      </c>
    </row>
    <row r="445" spans="1:30" ht="13.5" customHeight="1">
      <c r="A445" s="23"/>
      <c r="B445" s="28" t="s">
        <v>696</v>
      </c>
      <c r="C445" s="11" t="s">
        <v>697</v>
      </c>
      <c r="D445" s="8"/>
      <c r="E445" s="8">
        <v>47223</v>
      </c>
      <c r="F445" s="8">
        <v>0</v>
      </c>
      <c r="G445" s="8">
        <v>0</v>
      </c>
      <c r="H445" s="8">
        <v>363000</v>
      </c>
      <c r="I445" s="8">
        <v>0</v>
      </c>
      <c r="J445" s="8">
        <v>0</v>
      </c>
      <c r="K445" s="8">
        <v>477000</v>
      </c>
      <c r="L445" s="8">
        <v>545000</v>
      </c>
      <c r="M445" s="8">
        <f>L445</f>
        <v>545000</v>
      </c>
      <c r="N445" s="24">
        <v>0</v>
      </c>
      <c r="O445" s="24">
        <v>0</v>
      </c>
      <c r="P445" s="454">
        <f t="shared" si="80"/>
        <v>1.1425576519916143</v>
      </c>
      <c r="Q445" s="292">
        <f t="shared" si="86"/>
        <v>0.01367056976240779</v>
      </c>
      <c r="R445" s="293">
        <f t="shared" si="87"/>
        <v>0.016619570767413102</v>
      </c>
      <c r="S445" s="459"/>
      <c r="T445" s="459"/>
      <c r="U445" s="459"/>
      <c r="V445" s="459"/>
      <c r="W445" s="459"/>
      <c r="X445" s="459"/>
      <c r="Y445" s="459"/>
      <c r="Z445" s="459"/>
      <c r="AA445" s="459"/>
      <c r="AB445" s="459"/>
      <c r="AC445" s="459"/>
      <c r="AD445" s="459"/>
    </row>
    <row r="446" spans="1:30" ht="24.75" customHeight="1" hidden="1">
      <c r="A446" s="23"/>
      <c r="B446" s="28" t="s">
        <v>698</v>
      </c>
      <c r="C446" s="11" t="s">
        <v>699</v>
      </c>
      <c r="D446" s="8"/>
      <c r="E446" s="8">
        <v>35693</v>
      </c>
      <c r="F446" s="8">
        <v>0</v>
      </c>
      <c r="G446" s="8">
        <v>0</v>
      </c>
      <c r="H446" s="8"/>
      <c r="I446" s="8"/>
      <c r="J446" s="8"/>
      <c r="K446" s="8"/>
      <c r="L446" s="8"/>
      <c r="M446" s="8"/>
      <c r="N446" s="24"/>
      <c r="O446" s="24">
        <v>0</v>
      </c>
      <c r="P446" s="440" t="e">
        <f t="shared" si="80"/>
        <v>#DIV/0!</v>
      </c>
      <c r="Q446" s="292">
        <f t="shared" si="86"/>
        <v>0</v>
      </c>
      <c r="R446" s="293">
        <f t="shared" si="87"/>
        <v>0</v>
      </c>
      <c r="S446" s="459"/>
      <c r="T446" s="459"/>
      <c r="U446" s="459"/>
      <c r="V446" s="459"/>
      <c r="W446" s="459"/>
      <c r="X446" s="459"/>
      <c r="Y446" s="459"/>
      <c r="Z446" s="459"/>
      <c r="AA446" s="459"/>
      <c r="AB446" s="459"/>
      <c r="AC446" s="459"/>
      <c r="AD446" s="459"/>
    </row>
    <row r="447" spans="1:30" s="442" customFormat="1" ht="17.25" customHeight="1">
      <c r="A447" s="443" t="s">
        <v>592</v>
      </c>
      <c r="B447" s="443"/>
      <c r="C447" s="444" t="s">
        <v>599</v>
      </c>
      <c r="D447" s="444" t="e">
        <f>D448+D466+D487+#REF!+D494+D528+#REF!+D547</f>
        <v>#REF!</v>
      </c>
      <c r="E447" s="444" t="e">
        <f>E448+E466+E487+#REF!+E494+E528+#REF!+#REF!+E547+#REF!</f>
        <v>#REF!</v>
      </c>
      <c r="F447" s="444" t="e">
        <f>F448+F466+F487+#REF!+F494+F528+#REF!+#REF!+F547+#REF!</f>
        <v>#REF!</v>
      </c>
      <c r="G447" s="444" t="e">
        <f>G448+G466+G487+#REF!+G494+G528+#REF!+#REF!+G547+#REF!</f>
        <v>#REF!</v>
      </c>
      <c r="H447" s="444" t="e">
        <f>H448+H466+H487+#REF!+H494+H528+#REF!+#REF!+H547+#REF!</f>
        <v>#REF!</v>
      </c>
      <c r="I447" s="444" t="e">
        <f>I448+I466+I487+#REF!+I494+I528+#REF!+#REF!+I547+#REF!</f>
        <v>#REF!</v>
      </c>
      <c r="J447" s="444" t="e">
        <f>J448+J466+J487+#REF!+J494+J528+#REF!+#REF!+J547+#REF!</f>
        <v>#REF!</v>
      </c>
      <c r="K447" s="444">
        <f>K448+K466+K487+K492+K494+K508+K520+K530+K533</f>
        <v>3244946</v>
      </c>
      <c r="L447" s="444">
        <f>L448+L466+L487+L492+L494+L508+L520+L530+L533</f>
        <v>3344782</v>
      </c>
      <c r="M447" s="444">
        <f>M448+M466+M487+M492+M494+M508+M520+M530+M533</f>
        <v>0</v>
      </c>
      <c r="N447" s="444">
        <f>N448+N466+N487+N492+N494+N508+N520+N530+N533</f>
        <v>3012346</v>
      </c>
      <c r="O447" s="444">
        <f>O448+O466+O487+O492+O494+O508+O520+O530+O533</f>
        <v>332436</v>
      </c>
      <c r="P447" s="440">
        <f t="shared" si="80"/>
        <v>1.0307666136817069</v>
      </c>
      <c r="Q447" s="440">
        <f t="shared" si="86"/>
        <v>0.0929984500382518</v>
      </c>
      <c r="R447" s="441">
        <f t="shared" si="87"/>
        <v>0.10199787367076978</v>
      </c>
      <c r="S447" s="459"/>
      <c r="T447" s="459"/>
      <c r="U447" s="459"/>
      <c r="V447" s="459"/>
      <c r="W447" s="459"/>
      <c r="X447" s="459"/>
      <c r="Y447" s="459"/>
      <c r="Z447" s="459"/>
      <c r="AA447" s="459"/>
      <c r="AB447" s="459"/>
      <c r="AC447" s="459"/>
      <c r="AD447" s="459"/>
    </row>
    <row r="448" spans="1:18" ht="14.25" customHeight="1">
      <c r="A448" s="17" t="s">
        <v>594</v>
      </c>
      <c r="B448" s="17"/>
      <c r="C448" s="4" t="s">
        <v>701</v>
      </c>
      <c r="D448" s="7" t="e">
        <f>D451+D452+D453+#REF!</f>
        <v>#REF!</v>
      </c>
      <c r="E448" s="7" t="e">
        <f>E451+E452+E453+E454+#REF!+E449+#REF!+E450+E455+E456+#REF!+E458+#REF!+E459+E461+E462+E463+E464</f>
        <v>#REF!</v>
      </c>
      <c r="F448" s="7" t="e">
        <f>F451+F452+F453+F454+#REF!+F449+#REF!+F450+F455+F456+#REF!+F458+#REF!+F459+F461+F462+F463+F464</f>
        <v>#REF!</v>
      </c>
      <c r="G448" s="7" t="e">
        <f>G451+G452+G453+G454+#REF!+G449+#REF!+G450+G455+G456+#REF!+G458+#REF!+G459+G461+G462+G463+G464</f>
        <v>#REF!</v>
      </c>
      <c r="H448" s="7">
        <f>H451+H452+H453+H454+H449+H450+H455+H456+H458+H459+H461+H462+H463+H464+H457</f>
        <v>721156</v>
      </c>
      <c r="I448" s="7">
        <f>I451+I452+I453+I454+I449+I450+I455+I456+I458+I459+I461+I462+I463+I464+I457</f>
        <v>0</v>
      </c>
      <c r="J448" s="7">
        <f>J451+J452+J453+J454+J449+J450+J455+J456+J458+J459+J461+J462+J463+J464+J457</f>
        <v>0</v>
      </c>
      <c r="K448" s="7">
        <f>SUM(K449:K465)</f>
        <v>1185491</v>
      </c>
      <c r="L448" s="7">
        <f>SUM(L449:L465)</f>
        <v>1262605</v>
      </c>
      <c r="M448" s="7">
        <f>SUM(M449:M465)</f>
        <v>0</v>
      </c>
      <c r="N448" s="7">
        <f>SUM(N449:N465)</f>
        <v>947375</v>
      </c>
      <c r="O448" s="7">
        <f>SUM(O449:O465)</f>
        <v>315230</v>
      </c>
      <c r="P448" s="454">
        <f t="shared" si="80"/>
        <v>1.0650481530437599</v>
      </c>
      <c r="Q448" s="292">
        <f aca="true" t="shared" si="90" ref="Q448:Q456">K448/$K$662</f>
        <v>0.033975550142990724</v>
      </c>
      <c r="R448" s="293">
        <f aca="true" t="shared" si="91" ref="R448:R456">L448/$L$662</f>
        <v>0.038502666328054345</v>
      </c>
    </row>
    <row r="449" spans="1:18" ht="15.75" customHeight="1">
      <c r="A449" s="17"/>
      <c r="B449" s="28" t="s">
        <v>461</v>
      </c>
      <c r="C449" s="8" t="s">
        <v>690</v>
      </c>
      <c r="D449" s="8"/>
      <c r="E449" s="8">
        <v>10492</v>
      </c>
      <c r="F449" s="8">
        <v>0</v>
      </c>
      <c r="G449" s="8">
        <v>0</v>
      </c>
      <c r="H449" s="8">
        <v>2952</v>
      </c>
      <c r="I449" s="8">
        <v>0</v>
      </c>
      <c r="J449" s="8">
        <v>0</v>
      </c>
      <c r="K449" s="8">
        <v>618</v>
      </c>
      <c r="L449" s="8">
        <v>635</v>
      </c>
      <c r="M449" s="8">
        <v>0</v>
      </c>
      <c r="N449" s="24">
        <f>L449</f>
        <v>635</v>
      </c>
      <c r="O449" s="24">
        <v>0</v>
      </c>
      <c r="P449" s="454">
        <f t="shared" si="80"/>
        <v>1.0275080906148868</v>
      </c>
      <c r="Q449" s="292">
        <f t="shared" si="90"/>
        <v>1.7711555792805063E-05</v>
      </c>
      <c r="R449" s="293">
        <f t="shared" si="91"/>
        <v>1.9364087040930862E-05</v>
      </c>
    </row>
    <row r="450" spans="1:18" ht="15.75" customHeight="1">
      <c r="A450" s="17"/>
      <c r="B450" s="28" t="s">
        <v>702</v>
      </c>
      <c r="C450" s="8" t="s">
        <v>703</v>
      </c>
      <c r="D450" s="8"/>
      <c r="E450" s="8">
        <v>101199</v>
      </c>
      <c r="F450" s="8">
        <v>0</v>
      </c>
      <c r="G450" s="8">
        <v>0</v>
      </c>
      <c r="H450" s="8">
        <v>103850</v>
      </c>
      <c r="I450" s="8">
        <v>0</v>
      </c>
      <c r="J450" s="8">
        <v>0</v>
      </c>
      <c r="K450" s="8">
        <v>55830</v>
      </c>
      <c r="L450" s="8">
        <v>93595</v>
      </c>
      <c r="M450" s="8">
        <v>0</v>
      </c>
      <c r="N450" s="24">
        <f>L450</f>
        <v>93595</v>
      </c>
      <c r="O450" s="24">
        <v>0</v>
      </c>
      <c r="P450" s="454">
        <f t="shared" si="80"/>
        <v>1.6764284434891634</v>
      </c>
      <c r="Q450" s="292">
        <f t="shared" si="90"/>
        <v>0.001600058511184962</v>
      </c>
      <c r="R450" s="293">
        <f t="shared" si="91"/>
        <v>0.0028541444513321638</v>
      </c>
    </row>
    <row r="451" spans="1:18" ht="24" customHeight="1">
      <c r="A451" s="17"/>
      <c r="B451" s="28" t="s">
        <v>475</v>
      </c>
      <c r="C451" s="11" t="s">
        <v>476</v>
      </c>
      <c r="D451" s="8">
        <v>956632</v>
      </c>
      <c r="E451" s="8">
        <v>1089025</v>
      </c>
      <c r="F451" s="8">
        <v>0</v>
      </c>
      <c r="G451" s="8">
        <v>0</v>
      </c>
      <c r="H451" s="8">
        <v>335820</v>
      </c>
      <c r="I451" s="8">
        <v>0</v>
      </c>
      <c r="J451" s="8">
        <v>0</v>
      </c>
      <c r="K451" s="8">
        <v>466106</v>
      </c>
      <c r="L451" s="8">
        <v>472700</v>
      </c>
      <c r="M451" s="8">
        <v>0</v>
      </c>
      <c r="N451" s="24">
        <f>L451</f>
        <v>472700</v>
      </c>
      <c r="O451" s="24">
        <v>0</v>
      </c>
      <c r="P451" s="454">
        <f t="shared" si="80"/>
        <v>1.0141469966059222</v>
      </c>
      <c r="Q451" s="292">
        <f t="shared" si="90"/>
        <v>0.013358353437477663</v>
      </c>
      <c r="R451" s="293">
        <f t="shared" si="91"/>
        <v>0.0144148093610205</v>
      </c>
    </row>
    <row r="452" spans="1:18" ht="15" customHeight="1">
      <c r="A452" s="17"/>
      <c r="B452" s="28" t="s">
        <v>479</v>
      </c>
      <c r="C452" s="11" t="s">
        <v>480</v>
      </c>
      <c r="D452" s="11">
        <v>70520</v>
      </c>
      <c r="E452" s="8">
        <v>77400</v>
      </c>
      <c r="F452" s="8">
        <v>0</v>
      </c>
      <c r="G452" s="8">
        <v>0</v>
      </c>
      <c r="H452" s="8">
        <v>29155</v>
      </c>
      <c r="I452" s="8">
        <v>0</v>
      </c>
      <c r="J452" s="8">
        <v>0</v>
      </c>
      <c r="K452" s="8">
        <v>29403</v>
      </c>
      <c r="L452" s="8">
        <v>33736</v>
      </c>
      <c r="M452" s="8">
        <v>0</v>
      </c>
      <c r="N452" s="24">
        <f aca="true" t="shared" si="92" ref="N452:N463">L452</f>
        <v>33736</v>
      </c>
      <c r="O452" s="24">
        <v>0</v>
      </c>
      <c r="P452" s="454">
        <f t="shared" si="80"/>
        <v>1.1473659150426827</v>
      </c>
      <c r="Q452" s="292">
        <f t="shared" si="90"/>
        <v>0.0008426745549770991</v>
      </c>
      <c r="R452" s="293">
        <f t="shared" si="91"/>
        <v>0.0010287666778155016</v>
      </c>
    </row>
    <row r="453" spans="1:18" ht="15" customHeight="1">
      <c r="A453" s="17"/>
      <c r="B453" s="25" t="s">
        <v>532</v>
      </c>
      <c r="C453" s="11" t="s">
        <v>554</v>
      </c>
      <c r="D453" s="8">
        <v>208573</v>
      </c>
      <c r="E453" s="8">
        <v>207904</v>
      </c>
      <c r="F453" s="8">
        <v>0</v>
      </c>
      <c r="G453" s="8">
        <v>0</v>
      </c>
      <c r="H453" s="8">
        <v>65200</v>
      </c>
      <c r="I453" s="8">
        <v>0</v>
      </c>
      <c r="J453" s="8">
        <v>0</v>
      </c>
      <c r="K453" s="8">
        <v>82058</v>
      </c>
      <c r="L453" s="8">
        <v>79627</v>
      </c>
      <c r="M453" s="8">
        <v>0</v>
      </c>
      <c r="N453" s="24">
        <f t="shared" si="92"/>
        <v>79627</v>
      </c>
      <c r="O453" s="24">
        <v>0</v>
      </c>
      <c r="P453" s="454">
        <f t="shared" si="80"/>
        <v>0.9703746130785542</v>
      </c>
      <c r="Q453" s="292">
        <f t="shared" si="90"/>
        <v>0.0023517392317896403</v>
      </c>
      <c r="R453" s="293">
        <f t="shared" si="91"/>
        <v>0.0024281955256822076</v>
      </c>
    </row>
    <row r="454" spans="1:18" ht="13.5" customHeight="1">
      <c r="A454" s="17"/>
      <c r="B454" s="25" t="s">
        <v>483</v>
      </c>
      <c r="C454" s="11" t="s">
        <v>484</v>
      </c>
      <c r="D454" s="8"/>
      <c r="E454" s="8">
        <v>27489</v>
      </c>
      <c r="F454" s="8">
        <v>0</v>
      </c>
      <c r="G454" s="8">
        <v>0</v>
      </c>
      <c r="H454" s="8">
        <v>8940</v>
      </c>
      <c r="I454" s="8">
        <v>0</v>
      </c>
      <c r="J454" s="8">
        <v>0</v>
      </c>
      <c r="K454" s="8">
        <v>11339</v>
      </c>
      <c r="L454" s="8">
        <v>11025</v>
      </c>
      <c r="M454" s="8">
        <v>0</v>
      </c>
      <c r="N454" s="24">
        <f t="shared" si="92"/>
        <v>11025</v>
      </c>
      <c r="O454" s="24">
        <v>0</v>
      </c>
      <c r="P454" s="454">
        <f t="shared" si="80"/>
        <v>0.9723079636652262</v>
      </c>
      <c r="Q454" s="292">
        <f t="shared" si="90"/>
        <v>0.0003249697914799621</v>
      </c>
      <c r="R454" s="293">
        <f t="shared" si="91"/>
        <v>0.0003362032435059256</v>
      </c>
    </row>
    <row r="455" spans="1:18" ht="14.25" customHeight="1">
      <c r="A455" s="17"/>
      <c r="B455" s="28" t="s">
        <v>485</v>
      </c>
      <c r="C455" s="8" t="s">
        <v>631</v>
      </c>
      <c r="D455" s="8"/>
      <c r="E455" s="8">
        <v>96956</v>
      </c>
      <c r="F455" s="8">
        <v>0</v>
      </c>
      <c r="G455" s="8">
        <v>0</v>
      </c>
      <c r="H455" s="8">
        <v>36573</v>
      </c>
      <c r="I455" s="8">
        <v>0</v>
      </c>
      <c r="J455" s="8">
        <v>0</v>
      </c>
      <c r="K455" s="8">
        <v>15187</v>
      </c>
      <c r="L455" s="8">
        <v>44315</v>
      </c>
      <c r="M455" s="8">
        <v>0</v>
      </c>
      <c r="N455" s="24">
        <f t="shared" si="92"/>
        <v>44315</v>
      </c>
      <c r="O455" s="24">
        <v>0</v>
      </c>
      <c r="P455" s="454">
        <f t="shared" si="80"/>
        <v>2.917956146704418</v>
      </c>
      <c r="Q455" s="292">
        <f t="shared" si="90"/>
        <v>0.0004352514527917969</v>
      </c>
      <c r="R455" s="293">
        <f t="shared" si="91"/>
        <v>0.0013513693184548836</v>
      </c>
    </row>
    <row r="456" spans="1:18" ht="16.5" customHeight="1">
      <c r="A456" s="17"/>
      <c r="B456" s="28" t="s">
        <v>580</v>
      </c>
      <c r="C456" s="8" t="s">
        <v>704</v>
      </c>
      <c r="D456" s="8"/>
      <c r="E456" s="8">
        <v>188099</v>
      </c>
      <c r="F456" s="8">
        <v>0</v>
      </c>
      <c r="G456" s="8">
        <v>0</v>
      </c>
      <c r="H456" s="20">
        <v>50136</v>
      </c>
      <c r="I456" s="8">
        <v>0</v>
      </c>
      <c r="J456" s="8">
        <v>0</v>
      </c>
      <c r="K456" s="8">
        <v>55018</v>
      </c>
      <c r="L456" s="8">
        <v>63000</v>
      </c>
      <c r="M456" s="8">
        <v>0</v>
      </c>
      <c r="N456" s="24">
        <f t="shared" si="92"/>
        <v>63000</v>
      </c>
      <c r="O456" s="24">
        <v>0</v>
      </c>
      <c r="P456" s="454">
        <f t="shared" si="80"/>
        <v>1.1450797920680504</v>
      </c>
      <c r="Q456" s="292">
        <f t="shared" si="90"/>
        <v>0.0015767870171659367</v>
      </c>
      <c r="R456" s="293">
        <f t="shared" si="91"/>
        <v>0.001921161391462432</v>
      </c>
    </row>
    <row r="457" spans="1:18" ht="15.75" customHeight="1">
      <c r="A457" s="17"/>
      <c r="B457" s="28" t="s">
        <v>710</v>
      </c>
      <c r="C457" s="8" t="s">
        <v>711</v>
      </c>
      <c r="D457" s="8"/>
      <c r="E457" s="8"/>
      <c r="F457" s="8"/>
      <c r="G457" s="8"/>
      <c r="H457" s="20">
        <v>1500</v>
      </c>
      <c r="I457" s="8">
        <v>0</v>
      </c>
      <c r="J457" s="8">
        <v>0</v>
      </c>
      <c r="K457" s="8">
        <v>2400</v>
      </c>
      <c r="L457" s="8">
        <v>2400</v>
      </c>
      <c r="M457" s="8">
        <v>0</v>
      </c>
      <c r="N457" s="24">
        <f t="shared" si="92"/>
        <v>2400</v>
      </c>
      <c r="O457" s="24">
        <v>0</v>
      </c>
      <c r="P457" s="454">
        <f t="shared" si="80"/>
        <v>1</v>
      </c>
      <c r="Q457" s="292">
        <f aca="true" t="shared" si="93" ref="Q457:Q470">K457/$K$662</f>
        <v>6.878274094293227E-05</v>
      </c>
      <c r="R457" s="293">
        <f aca="true" t="shared" si="94" ref="R457:R470">L457/$L$662</f>
        <v>7.318710062714026E-05</v>
      </c>
    </row>
    <row r="458" spans="1:18" ht="16.5" customHeight="1">
      <c r="A458" s="17"/>
      <c r="B458" s="28" t="s">
        <v>487</v>
      </c>
      <c r="C458" s="8" t="s">
        <v>584</v>
      </c>
      <c r="D458" s="8"/>
      <c r="E458" s="8">
        <v>82690</v>
      </c>
      <c r="F458" s="8">
        <v>0</v>
      </c>
      <c r="G458" s="8">
        <v>0</v>
      </c>
      <c r="H458" s="8">
        <v>63330</v>
      </c>
      <c r="I458" s="8">
        <v>0</v>
      </c>
      <c r="J458" s="8">
        <v>0</v>
      </c>
      <c r="K458" s="8">
        <v>81519</v>
      </c>
      <c r="L458" s="8">
        <v>93865</v>
      </c>
      <c r="M458" s="8">
        <v>0</v>
      </c>
      <c r="N458" s="24">
        <f t="shared" si="92"/>
        <v>93865</v>
      </c>
      <c r="O458" s="24">
        <v>0</v>
      </c>
      <c r="P458" s="454">
        <f t="shared" si="80"/>
        <v>1.151449355365007</v>
      </c>
      <c r="Q458" s="292">
        <f t="shared" si="93"/>
        <v>0.0023362917745528736</v>
      </c>
      <c r="R458" s="293">
        <f t="shared" si="94"/>
        <v>0.002862378000152717</v>
      </c>
    </row>
    <row r="459" spans="1:18" ht="16.5" customHeight="1">
      <c r="A459" s="17"/>
      <c r="B459" s="28" t="s">
        <v>491</v>
      </c>
      <c r="C459" s="8" t="s">
        <v>586</v>
      </c>
      <c r="D459" s="8"/>
      <c r="E459" s="8">
        <v>39235</v>
      </c>
      <c r="F459" s="8">
        <v>0</v>
      </c>
      <c r="G459" s="8">
        <v>0</v>
      </c>
      <c r="H459" s="8">
        <v>8500</v>
      </c>
      <c r="I459" s="8">
        <v>0</v>
      </c>
      <c r="J459" s="8">
        <v>0</v>
      </c>
      <c r="K459" s="8">
        <v>22180</v>
      </c>
      <c r="L459" s="8">
        <v>22260</v>
      </c>
      <c r="M459" s="8">
        <v>0</v>
      </c>
      <c r="N459" s="24">
        <f t="shared" si="92"/>
        <v>22260</v>
      </c>
      <c r="O459" s="24">
        <v>0</v>
      </c>
      <c r="P459" s="454">
        <f t="shared" si="80"/>
        <v>1.0036068530207394</v>
      </c>
      <c r="Q459" s="292">
        <f t="shared" si="93"/>
        <v>0.0006356671642142658</v>
      </c>
      <c r="R459" s="293">
        <f t="shared" si="94"/>
        <v>0.000678810358316726</v>
      </c>
    </row>
    <row r="460" spans="1:18" ht="16.5" customHeight="1">
      <c r="A460" s="17"/>
      <c r="B460" s="28" t="s">
        <v>258</v>
      </c>
      <c r="C460" s="8" t="s">
        <v>788</v>
      </c>
      <c r="D460" s="8"/>
      <c r="E460" s="8"/>
      <c r="F460" s="8"/>
      <c r="G460" s="8"/>
      <c r="H460" s="8"/>
      <c r="I460" s="8"/>
      <c r="J460" s="8"/>
      <c r="K460" s="8">
        <v>1300</v>
      </c>
      <c r="L460" s="8">
        <v>1908</v>
      </c>
      <c r="M460" s="8">
        <v>0</v>
      </c>
      <c r="N460" s="24">
        <f t="shared" si="92"/>
        <v>1908</v>
      </c>
      <c r="O460" s="24">
        <v>0</v>
      </c>
      <c r="P460" s="454">
        <f t="shared" si="80"/>
        <v>1.4676923076923076</v>
      </c>
      <c r="Q460" s="292">
        <f t="shared" si="93"/>
        <v>3.725731801075498E-05</v>
      </c>
      <c r="R460" s="293">
        <f t="shared" si="94"/>
        <v>5.818374499857651E-05</v>
      </c>
    </row>
    <row r="461" spans="1:18" ht="16.5" customHeight="1">
      <c r="A461" s="17"/>
      <c r="B461" s="28" t="s">
        <v>493</v>
      </c>
      <c r="C461" s="8" t="s">
        <v>494</v>
      </c>
      <c r="D461" s="8"/>
      <c r="E461" s="8">
        <v>2500</v>
      </c>
      <c r="F461" s="8">
        <v>0</v>
      </c>
      <c r="G461" s="8">
        <v>0</v>
      </c>
      <c r="H461" s="8">
        <v>500</v>
      </c>
      <c r="I461" s="8">
        <v>0</v>
      </c>
      <c r="J461" s="8">
        <v>0</v>
      </c>
      <c r="K461" s="8">
        <v>2300</v>
      </c>
      <c r="L461" s="8">
        <v>2300</v>
      </c>
      <c r="M461" s="8">
        <v>0</v>
      </c>
      <c r="N461" s="24">
        <f t="shared" si="92"/>
        <v>2300</v>
      </c>
      <c r="O461" s="24">
        <v>0</v>
      </c>
      <c r="P461" s="454">
        <f aca="true" t="shared" si="95" ref="P461:P532">L461/K461</f>
        <v>1</v>
      </c>
      <c r="Q461" s="292">
        <f t="shared" si="93"/>
        <v>6.591679340364343E-05</v>
      </c>
      <c r="R461" s="293">
        <f t="shared" si="94"/>
        <v>7.013763810100942E-05</v>
      </c>
    </row>
    <row r="462" spans="1:18" ht="16.5" customHeight="1">
      <c r="A462" s="17"/>
      <c r="B462" s="28" t="s">
        <v>495</v>
      </c>
      <c r="C462" s="8" t="s">
        <v>496</v>
      </c>
      <c r="D462" s="8"/>
      <c r="E462" s="8">
        <v>3300</v>
      </c>
      <c r="F462" s="8">
        <v>0</v>
      </c>
      <c r="G462" s="8">
        <v>0</v>
      </c>
      <c r="H462" s="8">
        <v>700</v>
      </c>
      <c r="I462" s="8">
        <v>0</v>
      </c>
      <c r="J462" s="8">
        <v>0</v>
      </c>
      <c r="K462" s="8">
        <v>900</v>
      </c>
      <c r="L462" s="8">
        <v>720</v>
      </c>
      <c r="M462" s="8">
        <v>0</v>
      </c>
      <c r="N462" s="24">
        <f t="shared" si="92"/>
        <v>720</v>
      </c>
      <c r="O462" s="24">
        <v>0</v>
      </c>
      <c r="P462" s="454">
        <f t="shared" si="95"/>
        <v>0.8</v>
      </c>
      <c r="Q462" s="292">
        <f t="shared" si="93"/>
        <v>2.5793527853599604E-05</v>
      </c>
      <c r="R462" s="293">
        <f t="shared" si="94"/>
        <v>2.195613018814208E-05</v>
      </c>
    </row>
    <row r="463" spans="1:18" ht="15" customHeight="1">
      <c r="A463" s="17"/>
      <c r="B463" s="28" t="s">
        <v>497</v>
      </c>
      <c r="C463" s="8" t="s">
        <v>498</v>
      </c>
      <c r="D463" s="8"/>
      <c r="E463" s="8">
        <v>50719</v>
      </c>
      <c r="F463" s="8">
        <v>0</v>
      </c>
      <c r="G463" s="8">
        <v>0</v>
      </c>
      <c r="H463" s="8">
        <v>14000</v>
      </c>
      <c r="I463" s="8">
        <v>0</v>
      </c>
      <c r="J463" s="8">
        <v>0</v>
      </c>
      <c r="K463" s="8">
        <v>23545</v>
      </c>
      <c r="L463" s="8">
        <v>25289</v>
      </c>
      <c r="M463" s="8">
        <v>0</v>
      </c>
      <c r="N463" s="24">
        <f t="shared" si="92"/>
        <v>25289</v>
      </c>
      <c r="O463" s="24">
        <v>0</v>
      </c>
      <c r="P463" s="454">
        <f t="shared" si="95"/>
        <v>1.0740709280101932</v>
      </c>
      <c r="Q463" s="292">
        <f t="shared" si="93"/>
        <v>0.0006747873481255586</v>
      </c>
      <c r="R463" s="293">
        <f t="shared" si="94"/>
        <v>0.0007711785782332293</v>
      </c>
    </row>
    <row r="464" spans="1:18" ht="33.75" customHeight="1" hidden="1">
      <c r="A464" s="17"/>
      <c r="B464" s="28" t="s">
        <v>706</v>
      </c>
      <c r="C464" s="11" t="s">
        <v>707</v>
      </c>
      <c r="D464" s="8"/>
      <c r="E464" s="8">
        <v>60000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/>
      <c r="M464" s="8">
        <v>0</v>
      </c>
      <c r="N464" s="24">
        <f>K464</f>
        <v>0</v>
      </c>
      <c r="O464" s="24">
        <v>0</v>
      </c>
      <c r="P464" s="454" t="e">
        <f t="shared" si="95"/>
        <v>#DIV/0!</v>
      </c>
      <c r="Q464" s="292">
        <f t="shared" si="93"/>
        <v>0</v>
      </c>
      <c r="R464" s="293">
        <f t="shared" si="94"/>
        <v>0</v>
      </c>
    </row>
    <row r="465" spans="1:18" ht="22.5" customHeight="1">
      <c r="A465" s="17"/>
      <c r="B465" s="28" t="s">
        <v>665</v>
      </c>
      <c r="C465" s="11" t="s">
        <v>981</v>
      </c>
      <c r="D465" s="8"/>
      <c r="E465" s="8"/>
      <c r="F465" s="8"/>
      <c r="G465" s="8"/>
      <c r="H465" s="8"/>
      <c r="I465" s="8"/>
      <c r="J465" s="8"/>
      <c r="K465" s="8">
        <v>335788</v>
      </c>
      <c r="L465" s="8">
        <v>315230</v>
      </c>
      <c r="M465" s="8">
        <v>0</v>
      </c>
      <c r="N465" s="24">
        <v>0</v>
      </c>
      <c r="O465" s="24">
        <f>L465</f>
        <v>315230</v>
      </c>
      <c r="P465" s="454">
        <f t="shared" si="95"/>
        <v>0.9387768472965086</v>
      </c>
      <c r="Q465" s="292">
        <f>K465/$K$662</f>
        <v>0.009623507923227227</v>
      </c>
      <c r="R465" s="293">
        <f>L465/$L$662</f>
        <v>0.00961282072112226</v>
      </c>
    </row>
    <row r="466" spans="1:18" ht="15.75" customHeight="1">
      <c r="A466" s="17" t="s">
        <v>595</v>
      </c>
      <c r="B466" s="17"/>
      <c r="C466" s="4" t="s">
        <v>708</v>
      </c>
      <c r="D466" s="7">
        <f>D468+D469+D470+D471</f>
        <v>722000</v>
      </c>
      <c r="E466" s="7" t="e">
        <f>E468+E469+E470+E471+E472+E480+E474+E475+E476+E477+#REF!+E479+#REF!+E482+E483+E484</f>
        <v>#REF!</v>
      </c>
      <c r="F466" s="7" t="e">
        <f>F468+F469+F470+F471+F472+F480+F474+F475+F476+F477+#REF!+F479+#REF!+F482+F483+F484</f>
        <v>#REF!</v>
      </c>
      <c r="G466" s="7" t="e">
        <f>G468+G469+G470+G471+G472+G480+G474+G475+G476+G477+#REF!+G479+#REF!+G482+G483+G484</f>
        <v>#REF!</v>
      </c>
      <c r="H466" s="7" t="e">
        <f>H468+H469+H470+H471+H473+H480+H474+H475+H476+H477+H479+#REF!+H482+H483+H484+H485+H478</f>
        <v>#REF!</v>
      </c>
      <c r="I466" s="7" t="e">
        <f>I468+I469+I470+I471+I473+I480+I474+I475+I476+I477+I479+#REF!+I482+I483+I484+I485+I478</f>
        <v>#REF!</v>
      </c>
      <c r="J466" s="7" t="e">
        <f>J468+J469+J470+J471+J473+J480+J474+J475+J476+J477+J479+#REF!+J482+J483+J484+J485+J478</f>
        <v>#REF!</v>
      </c>
      <c r="K466" s="7">
        <f>SUM(K467:K486)</f>
        <v>933288</v>
      </c>
      <c r="L466" s="7">
        <f>SUM(L467:L486)</f>
        <v>862085</v>
      </c>
      <c r="M466" s="7">
        <f>SUM(M467:M486)</f>
        <v>0</v>
      </c>
      <c r="N466" s="7">
        <f>SUM(N467:N486)</f>
        <v>862085</v>
      </c>
      <c r="O466" s="7">
        <f>SUM(O467:O486)</f>
        <v>0</v>
      </c>
      <c r="P466" s="454">
        <f t="shared" si="95"/>
        <v>0.9237073657863382</v>
      </c>
      <c r="Q466" s="292">
        <f>K466/$K$662</f>
        <v>0.026747544470478075</v>
      </c>
      <c r="R466" s="293">
        <f>L466/$L$662</f>
        <v>0.026288959018395088</v>
      </c>
    </row>
    <row r="467" spans="1:18" s="434" customFormat="1" ht="18" customHeight="1">
      <c r="A467" s="23"/>
      <c r="B467" s="25" t="s">
        <v>461</v>
      </c>
      <c r="C467" s="11" t="s">
        <v>1004</v>
      </c>
      <c r="D467" s="432"/>
      <c r="E467" s="432"/>
      <c r="F467" s="432"/>
      <c r="G467" s="432"/>
      <c r="H467" s="432"/>
      <c r="I467" s="432"/>
      <c r="J467" s="432"/>
      <c r="K467" s="432">
        <v>0</v>
      </c>
      <c r="L467" s="432">
        <v>0</v>
      </c>
      <c r="M467" s="432">
        <v>0</v>
      </c>
      <c r="N467" s="24">
        <f>L467</f>
        <v>0</v>
      </c>
      <c r="O467" s="24">
        <v>0</v>
      </c>
      <c r="P467" s="454">
        <v>0</v>
      </c>
      <c r="Q467" s="433">
        <f>K467/$K$662</f>
        <v>0</v>
      </c>
      <c r="R467" s="293">
        <f>L467/$L$662</f>
        <v>0</v>
      </c>
    </row>
    <row r="468" spans="1:18" ht="25.5" customHeight="1">
      <c r="A468" s="23"/>
      <c r="B468" s="28" t="s">
        <v>475</v>
      </c>
      <c r="C468" s="11" t="s">
        <v>476</v>
      </c>
      <c r="D468" s="8">
        <v>365300</v>
      </c>
      <c r="E468" s="8">
        <v>330000</v>
      </c>
      <c r="F468" s="8">
        <v>17400</v>
      </c>
      <c r="G468" s="8">
        <v>0</v>
      </c>
      <c r="H468" s="8">
        <v>350982</v>
      </c>
      <c r="I468" s="8">
        <v>0</v>
      </c>
      <c r="J468" s="8">
        <v>0</v>
      </c>
      <c r="K468" s="8">
        <v>417213</v>
      </c>
      <c r="L468" s="8">
        <v>393290</v>
      </c>
      <c r="M468" s="8">
        <v>0</v>
      </c>
      <c r="N468" s="24">
        <f>L468</f>
        <v>393290</v>
      </c>
      <c r="O468" s="24">
        <v>0</v>
      </c>
      <c r="P468" s="454">
        <f t="shared" si="95"/>
        <v>0.9426599842286794</v>
      </c>
      <c r="Q468" s="292">
        <f t="shared" si="93"/>
        <v>0.011957105707093168</v>
      </c>
      <c r="R468" s="293">
        <f t="shared" si="94"/>
        <v>0.011993231169019998</v>
      </c>
    </row>
    <row r="469" spans="1:18" ht="17.25" customHeight="1">
      <c r="A469" s="23"/>
      <c r="B469" s="28" t="s">
        <v>479</v>
      </c>
      <c r="C469" s="11" t="s">
        <v>480</v>
      </c>
      <c r="D469" s="8">
        <v>30580</v>
      </c>
      <c r="E469" s="8">
        <v>31050</v>
      </c>
      <c r="F469" s="8">
        <v>0</v>
      </c>
      <c r="G469" s="8">
        <v>0</v>
      </c>
      <c r="H469" s="8">
        <v>23796</v>
      </c>
      <c r="I469" s="8">
        <v>0</v>
      </c>
      <c r="J469" s="8">
        <v>0</v>
      </c>
      <c r="K469" s="8">
        <v>28399</v>
      </c>
      <c r="L469" s="8">
        <v>31265</v>
      </c>
      <c r="M469" s="8">
        <v>0</v>
      </c>
      <c r="N469" s="24">
        <f aca="true" t="shared" si="96" ref="N469:N485">L469</f>
        <v>31265</v>
      </c>
      <c r="O469" s="24">
        <v>0</v>
      </c>
      <c r="P469" s="454">
        <f t="shared" si="95"/>
        <v>1.1009190464452974</v>
      </c>
      <c r="Q469" s="292">
        <f t="shared" si="93"/>
        <v>0.000813900441682639</v>
      </c>
      <c r="R469" s="293">
        <f t="shared" si="94"/>
        <v>0.0009534144587948085</v>
      </c>
    </row>
    <row r="470" spans="1:18" ht="18" customHeight="1">
      <c r="A470" s="23"/>
      <c r="B470" s="25" t="s">
        <v>532</v>
      </c>
      <c r="C470" s="11" t="s">
        <v>554</v>
      </c>
      <c r="D470" s="8">
        <v>77860</v>
      </c>
      <c r="E470" s="8">
        <v>64495</v>
      </c>
      <c r="F470" s="8">
        <v>0</v>
      </c>
      <c r="G470" s="8">
        <v>0</v>
      </c>
      <c r="H470" s="8">
        <v>73896</v>
      </c>
      <c r="I470" s="8">
        <v>0</v>
      </c>
      <c r="J470" s="8">
        <v>0</v>
      </c>
      <c r="K470" s="8">
        <v>71027</v>
      </c>
      <c r="L470" s="8">
        <v>69029</v>
      </c>
      <c r="M470" s="8">
        <v>0</v>
      </c>
      <c r="N470" s="24">
        <f t="shared" si="96"/>
        <v>69029</v>
      </c>
      <c r="O470" s="24">
        <v>0</v>
      </c>
      <c r="P470" s="454">
        <f t="shared" si="95"/>
        <v>0.971869852309685</v>
      </c>
      <c r="Q470" s="292">
        <f t="shared" si="93"/>
        <v>0.0020355965587306878</v>
      </c>
      <c r="R470" s="293">
        <f t="shared" si="94"/>
        <v>0.0021050134871628606</v>
      </c>
    </row>
    <row r="471" spans="1:18" ht="15.75" customHeight="1">
      <c r="A471" s="23"/>
      <c r="B471" s="28" t="s">
        <v>483</v>
      </c>
      <c r="C471" s="8" t="s">
        <v>484</v>
      </c>
      <c r="D471" s="8">
        <v>248260</v>
      </c>
      <c r="E471" s="8">
        <v>8850</v>
      </c>
      <c r="F471" s="8">
        <v>0</v>
      </c>
      <c r="G471" s="8">
        <v>0</v>
      </c>
      <c r="H471" s="8">
        <v>9182</v>
      </c>
      <c r="I471" s="8">
        <v>0</v>
      </c>
      <c r="J471" s="8">
        <v>0</v>
      </c>
      <c r="K471" s="8">
        <v>9815</v>
      </c>
      <c r="L471" s="8">
        <v>9539</v>
      </c>
      <c r="M471" s="8">
        <v>0</v>
      </c>
      <c r="N471" s="24">
        <f t="shared" si="96"/>
        <v>9539</v>
      </c>
      <c r="O471" s="24">
        <v>0</v>
      </c>
      <c r="P471" s="454">
        <f t="shared" si="95"/>
        <v>0.9718797758532858</v>
      </c>
      <c r="Q471" s="292">
        <f aca="true" t="shared" si="97" ref="Q471:Q487">K471/$K$662</f>
        <v>0.0002812927509812001</v>
      </c>
      <c r="R471" s="293">
        <f aca="true" t="shared" si="98" ref="R471:R481">L471/$L$662</f>
        <v>0.00029088823036762124</v>
      </c>
    </row>
    <row r="472" spans="1:18" ht="12.75" customHeight="1" hidden="1">
      <c r="A472" s="23"/>
      <c r="B472" s="28"/>
      <c r="C472" s="8" t="s">
        <v>523</v>
      </c>
      <c r="D472" s="8"/>
      <c r="E472" s="8">
        <v>8200</v>
      </c>
      <c r="F472" s="8">
        <v>0</v>
      </c>
      <c r="G472" s="8">
        <v>0</v>
      </c>
      <c r="H472" s="8"/>
      <c r="I472" s="8">
        <v>0</v>
      </c>
      <c r="J472" s="8">
        <v>0</v>
      </c>
      <c r="K472" s="8">
        <v>0</v>
      </c>
      <c r="L472" s="8"/>
      <c r="M472" s="8">
        <v>0</v>
      </c>
      <c r="N472" s="24">
        <f t="shared" si="96"/>
        <v>0</v>
      </c>
      <c r="O472" s="24">
        <v>0</v>
      </c>
      <c r="P472" s="454" t="e">
        <f t="shared" si="95"/>
        <v>#DIV/0!</v>
      </c>
      <c r="Q472" s="292">
        <f t="shared" si="97"/>
        <v>0</v>
      </c>
      <c r="R472" s="293">
        <f t="shared" si="98"/>
        <v>0</v>
      </c>
    </row>
    <row r="473" spans="1:18" ht="20.25" customHeight="1" hidden="1">
      <c r="A473" s="23"/>
      <c r="B473" s="28" t="s">
        <v>461</v>
      </c>
      <c r="C473" s="8" t="s">
        <v>709</v>
      </c>
      <c r="D473" s="8"/>
      <c r="E473" s="8"/>
      <c r="F473" s="8"/>
      <c r="G473" s="8"/>
      <c r="H473" s="8">
        <v>0</v>
      </c>
      <c r="I473" s="8">
        <v>0</v>
      </c>
      <c r="J473" s="8">
        <v>0</v>
      </c>
      <c r="K473" s="8">
        <v>0</v>
      </c>
      <c r="L473" s="8"/>
      <c r="M473" s="8">
        <v>0</v>
      </c>
      <c r="N473" s="24">
        <f t="shared" si="96"/>
        <v>0</v>
      </c>
      <c r="O473" s="24">
        <v>0</v>
      </c>
      <c r="P473" s="454" t="e">
        <f t="shared" si="95"/>
        <v>#DIV/0!</v>
      </c>
      <c r="Q473" s="292">
        <f t="shared" si="97"/>
        <v>0</v>
      </c>
      <c r="R473" s="293">
        <f t="shared" si="98"/>
        <v>0</v>
      </c>
    </row>
    <row r="474" spans="1:18" ht="15.75" customHeight="1">
      <c r="A474" s="23"/>
      <c r="B474" s="28" t="s">
        <v>485</v>
      </c>
      <c r="C474" s="8" t="s">
        <v>631</v>
      </c>
      <c r="D474" s="8"/>
      <c r="E474" s="8">
        <v>6795</v>
      </c>
      <c r="F474" s="8">
        <v>474</v>
      </c>
      <c r="G474" s="8">
        <v>0</v>
      </c>
      <c r="H474" s="20">
        <v>21937</v>
      </c>
      <c r="I474" s="8">
        <v>0</v>
      </c>
      <c r="J474" s="8">
        <v>0</v>
      </c>
      <c r="K474" s="8">
        <v>163117</v>
      </c>
      <c r="L474" s="8">
        <v>18800</v>
      </c>
      <c r="M474" s="8">
        <v>0</v>
      </c>
      <c r="N474" s="24">
        <f t="shared" si="96"/>
        <v>18800</v>
      </c>
      <c r="O474" s="24">
        <v>0</v>
      </c>
      <c r="P474" s="454">
        <f t="shared" si="95"/>
        <v>0.11525469448310109</v>
      </c>
      <c r="Q474" s="292">
        <f t="shared" si="97"/>
        <v>0.0046748476476617855</v>
      </c>
      <c r="R474" s="293">
        <f t="shared" si="98"/>
        <v>0.0005732989549125987</v>
      </c>
    </row>
    <row r="475" spans="1:18" ht="16.5" customHeight="1">
      <c r="A475" s="23"/>
      <c r="B475" s="28" t="s">
        <v>580</v>
      </c>
      <c r="C475" s="8" t="s">
        <v>704</v>
      </c>
      <c r="D475" s="8"/>
      <c r="E475" s="8">
        <v>40000</v>
      </c>
      <c r="F475" s="8">
        <v>10000</v>
      </c>
      <c r="G475" s="8">
        <v>0</v>
      </c>
      <c r="H475" s="20">
        <v>76000</v>
      </c>
      <c r="I475" s="8">
        <v>0</v>
      </c>
      <c r="J475" s="8">
        <v>0</v>
      </c>
      <c r="K475" s="8">
        <v>82140</v>
      </c>
      <c r="L475" s="8">
        <v>1000</v>
      </c>
      <c r="M475" s="8">
        <v>0</v>
      </c>
      <c r="N475" s="24">
        <f t="shared" si="96"/>
        <v>1000</v>
      </c>
      <c r="O475" s="24">
        <v>0</v>
      </c>
      <c r="P475" s="454">
        <f t="shared" si="95"/>
        <v>0.012174336498660824</v>
      </c>
      <c r="Q475" s="292">
        <f t="shared" si="97"/>
        <v>0.0023540893087718572</v>
      </c>
      <c r="R475" s="293">
        <f t="shared" si="98"/>
        <v>3.0494625261308444E-05</v>
      </c>
    </row>
    <row r="476" spans="1:18" ht="16.5" customHeight="1">
      <c r="A476" s="23"/>
      <c r="B476" s="28" t="s">
        <v>710</v>
      </c>
      <c r="C476" s="8" t="s">
        <v>711</v>
      </c>
      <c r="D476" s="8"/>
      <c r="E476" s="8">
        <v>4000</v>
      </c>
      <c r="F476" s="8">
        <v>0</v>
      </c>
      <c r="G476" s="8">
        <v>0</v>
      </c>
      <c r="H476" s="20">
        <v>5800</v>
      </c>
      <c r="I476" s="8">
        <v>0</v>
      </c>
      <c r="J476" s="8">
        <v>0</v>
      </c>
      <c r="K476" s="8">
        <v>6805</v>
      </c>
      <c r="L476" s="8">
        <v>7500</v>
      </c>
      <c r="M476" s="8">
        <v>0</v>
      </c>
      <c r="N476" s="24">
        <f t="shared" si="96"/>
        <v>7500</v>
      </c>
      <c r="O476" s="24">
        <v>0</v>
      </c>
      <c r="P476" s="454">
        <f t="shared" si="95"/>
        <v>1.1021307861866274</v>
      </c>
      <c r="Q476" s="292">
        <f t="shared" si="97"/>
        <v>0.0001950277300486059</v>
      </c>
      <c r="R476" s="293">
        <f t="shared" si="98"/>
        <v>0.00022870968945981333</v>
      </c>
    </row>
    <row r="477" spans="1:18" ht="14.25" customHeight="1">
      <c r="A477" s="23"/>
      <c r="B477" s="28" t="s">
        <v>487</v>
      </c>
      <c r="C477" s="8" t="s">
        <v>584</v>
      </c>
      <c r="D477" s="8"/>
      <c r="E477" s="8">
        <v>62480</v>
      </c>
      <c r="F477" s="8">
        <v>4000</v>
      </c>
      <c r="G477" s="8">
        <v>0</v>
      </c>
      <c r="H477" s="20">
        <v>89314</v>
      </c>
      <c r="I477" s="8">
        <v>0</v>
      </c>
      <c r="J477" s="8">
        <v>0</v>
      </c>
      <c r="K477" s="8">
        <v>93780</v>
      </c>
      <c r="L477" s="8">
        <v>46340</v>
      </c>
      <c r="M477" s="8">
        <v>0</v>
      </c>
      <c r="N477" s="24">
        <f t="shared" si="96"/>
        <v>46340</v>
      </c>
      <c r="O477" s="24">
        <v>0</v>
      </c>
      <c r="P477" s="454">
        <f t="shared" si="95"/>
        <v>0.49413521006611216</v>
      </c>
      <c r="Q477" s="292">
        <f t="shared" si="97"/>
        <v>0.0026876856023450788</v>
      </c>
      <c r="R477" s="293">
        <f t="shared" si="98"/>
        <v>0.0014131209346090333</v>
      </c>
    </row>
    <row r="478" spans="1:18" ht="14.25" customHeight="1">
      <c r="A478" s="23"/>
      <c r="B478" s="28" t="s">
        <v>258</v>
      </c>
      <c r="C478" s="8" t="s">
        <v>259</v>
      </c>
      <c r="D478" s="8"/>
      <c r="E478" s="8"/>
      <c r="F478" s="8"/>
      <c r="G478" s="8"/>
      <c r="H478" s="20">
        <v>7119</v>
      </c>
      <c r="I478" s="8">
        <v>0</v>
      </c>
      <c r="J478" s="8">
        <v>0</v>
      </c>
      <c r="K478" s="8">
        <v>400</v>
      </c>
      <c r="L478" s="8">
        <v>500</v>
      </c>
      <c r="M478" s="8">
        <v>0</v>
      </c>
      <c r="N478" s="24">
        <f t="shared" si="96"/>
        <v>500</v>
      </c>
      <c r="O478" s="24">
        <v>0</v>
      </c>
      <c r="P478" s="454">
        <f t="shared" si="95"/>
        <v>1.25</v>
      </c>
      <c r="Q478" s="292">
        <f t="shared" si="97"/>
        <v>1.1463790157155379E-05</v>
      </c>
      <c r="R478" s="293">
        <f t="shared" si="98"/>
        <v>1.5247312630654222E-05</v>
      </c>
    </row>
    <row r="479" spans="1:18" ht="15.75" customHeight="1">
      <c r="A479" s="23"/>
      <c r="B479" s="28" t="s">
        <v>491</v>
      </c>
      <c r="C479" s="8" t="s">
        <v>586</v>
      </c>
      <c r="D479" s="8"/>
      <c r="E479" s="8">
        <v>5000</v>
      </c>
      <c r="F479" s="8">
        <v>0</v>
      </c>
      <c r="G479" s="8">
        <v>0</v>
      </c>
      <c r="H479" s="20">
        <v>32500</v>
      </c>
      <c r="I479" s="8">
        <v>0</v>
      </c>
      <c r="J479" s="8">
        <v>0</v>
      </c>
      <c r="K479" s="8">
        <v>32150</v>
      </c>
      <c r="L479" s="8">
        <v>155650</v>
      </c>
      <c r="M479" s="8">
        <v>0</v>
      </c>
      <c r="N479" s="24">
        <f t="shared" si="96"/>
        <v>155650</v>
      </c>
      <c r="O479" s="24">
        <v>0</v>
      </c>
      <c r="P479" s="454">
        <f t="shared" si="95"/>
        <v>4.841368584758943</v>
      </c>
      <c r="Q479" s="292">
        <f t="shared" si="97"/>
        <v>0.0009214021338813637</v>
      </c>
      <c r="R479" s="293">
        <f t="shared" si="98"/>
        <v>0.004746488421922659</v>
      </c>
    </row>
    <row r="480" spans="1:18" ht="15.75" customHeight="1">
      <c r="A480" s="23"/>
      <c r="B480" s="28" t="s">
        <v>493</v>
      </c>
      <c r="C480" s="8" t="s">
        <v>494</v>
      </c>
      <c r="D480" s="8"/>
      <c r="E480" s="8">
        <v>1000</v>
      </c>
      <c r="F480" s="8">
        <v>0</v>
      </c>
      <c r="G480" s="8">
        <v>0</v>
      </c>
      <c r="H480" s="20">
        <v>1050</v>
      </c>
      <c r="I480" s="8">
        <v>0</v>
      </c>
      <c r="J480" s="8">
        <v>0</v>
      </c>
      <c r="K480" s="8">
        <v>1400</v>
      </c>
      <c r="L480" s="8">
        <v>800</v>
      </c>
      <c r="M480" s="8">
        <v>0</v>
      </c>
      <c r="N480" s="24">
        <f>L480</f>
        <v>800</v>
      </c>
      <c r="O480" s="24">
        <v>0</v>
      </c>
      <c r="P480" s="454">
        <f t="shared" si="95"/>
        <v>0.5714285714285714</v>
      </c>
      <c r="Q480" s="292">
        <f t="shared" si="97"/>
        <v>4.012326555004383E-05</v>
      </c>
      <c r="R480" s="293">
        <f t="shared" si="98"/>
        <v>2.4395700209046757E-05</v>
      </c>
    </row>
    <row r="481" spans="1:18" ht="15.75" customHeight="1">
      <c r="A481" s="23"/>
      <c r="B481" s="28" t="s">
        <v>415</v>
      </c>
      <c r="C481" s="8" t="s">
        <v>416</v>
      </c>
      <c r="D481" s="8"/>
      <c r="E481" s="8"/>
      <c r="F481" s="8"/>
      <c r="G481" s="8"/>
      <c r="H481" s="20"/>
      <c r="I481" s="8"/>
      <c r="J481" s="8"/>
      <c r="K481" s="8">
        <v>157</v>
      </c>
      <c r="L481" s="8">
        <v>0</v>
      </c>
      <c r="M481" s="8"/>
      <c r="N481" s="24">
        <f>L481</f>
        <v>0</v>
      </c>
      <c r="O481" s="24"/>
      <c r="P481" s="454">
        <f t="shared" si="95"/>
        <v>0</v>
      </c>
      <c r="Q481" s="292">
        <f t="shared" si="97"/>
        <v>4.4995376366834866E-06</v>
      </c>
      <c r="R481" s="293">
        <f t="shared" si="98"/>
        <v>0</v>
      </c>
    </row>
    <row r="482" spans="1:18" ht="15.75" customHeight="1">
      <c r="A482" s="23"/>
      <c r="B482" s="28" t="s">
        <v>497</v>
      </c>
      <c r="C482" s="8" t="s">
        <v>498</v>
      </c>
      <c r="D482" s="8"/>
      <c r="E482" s="8">
        <v>13110</v>
      </c>
      <c r="F482" s="8">
        <v>0</v>
      </c>
      <c r="G482" s="8">
        <v>0</v>
      </c>
      <c r="H482" s="8">
        <v>14000</v>
      </c>
      <c r="I482" s="8">
        <v>0</v>
      </c>
      <c r="J482" s="8">
        <v>0</v>
      </c>
      <c r="K482" s="8">
        <v>17087</v>
      </c>
      <c r="L482" s="8">
        <v>15408</v>
      </c>
      <c r="M482" s="8">
        <v>0</v>
      </c>
      <c r="N482" s="24">
        <f t="shared" si="96"/>
        <v>15408</v>
      </c>
      <c r="O482" s="24">
        <v>0</v>
      </c>
      <c r="P482" s="454">
        <f t="shared" si="95"/>
        <v>0.9017381635161233</v>
      </c>
      <c r="Q482" s="292">
        <f t="shared" si="97"/>
        <v>0.0004897044560382849</v>
      </c>
      <c r="R482" s="293">
        <f aca="true" t="shared" si="99" ref="R482:R487">L482/$L$662</f>
        <v>0.0004698611860262405</v>
      </c>
    </row>
    <row r="483" spans="1:18" ht="16.5" customHeight="1">
      <c r="A483" s="23"/>
      <c r="B483" s="28" t="s">
        <v>513</v>
      </c>
      <c r="C483" s="8" t="s">
        <v>514</v>
      </c>
      <c r="D483" s="8"/>
      <c r="E483" s="8">
        <v>1000</v>
      </c>
      <c r="F483" s="8">
        <v>0</v>
      </c>
      <c r="G483" s="8">
        <v>60</v>
      </c>
      <c r="H483" s="8">
        <v>1896</v>
      </c>
      <c r="I483" s="8">
        <v>0</v>
      </c>
      <c r="J483" s="8">
        <v>0</v>
      </c>
      <c r="K483" s="8">
        <v>2372</v>
      </c>
      <c r="L483" s="8">
        <v>2538</v>
      </c>
      <c r="M483" s="8">
        <v>0</v>
      </c>
      <c r="N483" s="24">
        <f t="shared" si="96"/>
        <v>2538</v>
      </c>
      <c r="O483" s="24">
        <v>0</v>
      </c>
      <c r="P483" s="454">
        <f t="shared" si="95"/>
        <v>1.069983136593592</v>
      </c>
      <c r="Q483" s="292">
        <f t="shared" si="97"/>
        <v>6.79802756319314E-05</v>
      </c>
      <c r="R483" s="293">
        <f t="shared" si="99"/>
        <v>7.739535891320084E-05</v>
      </c>
    </row>
    <row r="484" spans="1:18" ht="16.5" customHeight="1">
      <c r="A484" s="23"/>
      <c r="B484" s="28" t="s">
        <v>590</v>
      </c>
      <c r="C484" s="8" t="s">
        <v>591</v>
      </c>
      <c r="D484" s="8"/>
      <c r="E484" s="8">
        <v>500</v>
      </c>
      <c r="F484" s="8">
        <v>0</v>
      </c>
      <c r="G484" s="8">
        <v>70</v>
      </c>
      <c r="H484" s="8">
        <v>427</v>
      </c>
      <c r="I484" s="8">
        <v>0</v>
      </c>
      <c r="J484" s="8">
        <v>0</v>
      </c>
      <c r="K484" s="8">
        <v>426</v>
      </c>
      <c r="L484" s="8">
        <v>426</v>
      </c>
      <c r="M484" s="8">
        <v>0</v>
      </c>
      <c r="N484" s="24">
        <f t="shared" si="96"/>
        <v>426</v>
      </c>
      <c r="O484" s="24">
        <v>0</v>
      </c>
      <c r="P484" s="454">
        <f t="shared" si="95"/>
        <v>1</v>
      </c>
      <c r="Q484" s="292">
        <f t="shared" si="97"/>
        <v>1.220893651737048E-05</v>
      </c>
      <c r="R484" s="293">
        <f t="shared" si="99"/>
        <v>1.2990710361317397E-05</v>
      </c>
    </row>
    <row r="485" spans="1:18" ht="15.75" customHeight="1">
      <c r="A485" s="23"/>
      <c r="B485" s="28" t="s">
        <v>515</v>
      </c>
      <c r="C485" s="8" t="s">
        <v>375</v>
      </c>
      <c r="D485" s="8"/>
      <c r="E485" s="8"/>
      <c r="F485" s="8"/>
      <c r="G485" s="8"/>
      <c r="H485" s="8">
        <v>126026</v>
      </c>
      <c r="I485" s="8">
        <v>0</v>
      </c>
      <c r="J485" s="8">
        <v>0</v>
      </c>
      <c r="K485" s="8">
        <v>0</v>
      </c>
      <c r="L485" s="8">
        <v>110000</v>
      </c>
      <c r="M485" s="8">
        <v>0</v>
      </c>
      <c r="N485" s="24">
        <f t="shared" si="96"/>
        <v>110000</v>
      </c>
      <c r="O485" s="24">
        <v>0</v>
      </c>
      <c r="P485" s="454">
        <v>0</v>
      </c>
      <c r="Q485" s="292">
        <f t="shared" si="97"/>
        <v>0</v>
      </c>
      <c r="R485" s="293">
        <f t="shared" si="99"/>
        <v>0.003354408778743929</v>
      </c>
    </row>
    <row r="486" spans="1:18" ht="15" customHeight="1">
      <c r="A486" s="23"/>
      <c r="B486" s="28" t="s">
        <v>517</v>
      </c>
      <c r="C486" s="8" t="s">
        <v>376</v>
      </c>
      <c r="D486" s="8"/>
      <c r="E486" s="8"/>
      <c r="F486" s="8"/>
      <c r="G486" s="8"/>
      <c r="H486" s="8"/>
      <c r="I486" s="8"/>
      <c r="J486" s="8"/>
      <c r="K486" s="8">
        <v>7000</v>
      </c>
      <c r="L486" s="8">
        <v>0</v>
      </c>
      <c r="M486" s="8">
        <v>0</v>
      </c>
      <c r="N486" s="24">
        <f>L486</f>
        <v>0</v>
      </c>
      <c r="O486" s="24">
        <v>0</v>
      </c>
      <c r="P486" s="454">
        <v>0</v>
      </c>
      <c r="Q486" s="292">
        <f t="shared" si="97"/>
        <v>0.00020061632775021914</v>
      </c>
      <c r="R486" s="293">
        <f t="shared" si="99"/>
        <v>0</v>
      </c>
    </row>
    <row r="487" spans="1:18" ht="15.75" customHeight="1">
      <c r="A487" s="26" t="s">
        <v>600</v>
      </c>
      <c r="B487" s="28"/>
      <c r="C487" s="4" t="s">
        <v>712</v>
      </c>
      <c r="D487" s="7">
        <f>D490</f>
        <v>1308000</v>
      </c>
      <c r="E487" s="7">
        <f>E490</f>
        <v>1138000</v>
      </c>
      <c r="F487" s="7">
        <f>F490</f>
        <v>0</v>
      </c>
      <c r="G487" s="7">
        <f>G490</f>
        <v>0</v>
      </c>
      <c r="H487" s="7">
        <f>H490+H491</f>
        <v>744716</v>
      </c>
      <c r="I487" s="7">
        <f>I490+I491</f>
        <v>0</v>
      </c>
      <c r="J487" s="7">
        <f>J490+J491</f>
        <v>0</v>
      </c>
      <c r="K487" s="7">
        <f>SUM(K488:K491)</f>
        <v>842284</v>
      </c>
      <c r="L487" s="7">
        <f>L488+L489+L490+L491</f>
        <v>952360</v>
      </c>
      <c r="M487" s="7">
        <f>M488+M489+M490+M491</f>
        <v>0</v>
      </c>
      <c r="N487" s="7">
        <f>N488+N489+N490+N491</f>
        <v>935154</v>
      </c>
      <c r="O487" s="7">
        <f>O488+O489+O490+O491</f>
        <v>17206</v>
      </c>
      <c r="P487" s="454">
        <f t="shared" si="95"/>
        <v>1.130687511575668</v>
      </c>
      <c r="Q487" s="292">
        <f t="shared" si="97"/>
        <v>0.024139417571823654</v>
      </c>
      <c r="R487" s="293">
        <f t="shared" si="99"/>
        <v>0.02904186131385971</v>
      </c>
    </row>
    <row r="488" spans="1:18" ht="15.75" customHeight="1">
      <c r="A488" s="26"/>
      <c r="B488" s="28" t="s">
        <v>538</v>
      </c>
      <c r="C488" s="29" t="s">
        <v>1005</v>
      </c>
      <c r="D488" s="7"/>
      <c r="E488" s="7"/>
      <c r="F488" s="7"/>
      <c r="G488" s="7"/>
      <c r="H488" s="7"/>
      <c r="I488" s="7"/>
      <c r="J488" s="7"/>
      <c r="K488" s="20">
        <v>11730</v>
      </c>
      <c r="L488" s="20">
        <v>10679</v>
      </c>
      <c r="M488" s="20">
        <v>0</v>
      </c>
      <c r="N488" s="20">
        <v>0</v>
      </c>
      <c r="O488" s="20">
        <f>L488</f>
        <v>10679</v>
      </c>
      <c r="P488" s="454">
        <f t="shared" si="95"/>
        <v>0.9104006820119352</v>
      </c>
      <c r="Q488" s="292">
        <f aca="true" t="shared" si="100" ref="Q488:Q493">K488/$K$662</f>
        <v>0.0003361756463585815</v>
      </c>
      <c r="R488" s="293">
        <f aca="true" t="shared" si="101" ref="R488:R493">L488/$L$662</f>
        <v>0.00032565210316551287</v>
      </c>
    </row>
    <row r="489" spans="1:18" ht="15.75" customHeight="1">
      <c r="A489" s="26"/>
      <c r="B489" s="28" t="s">
        <v>665</v>
      </c>
      <c r="C489" s="29" t="s">
        <v>1006</v>
      </c>
      <c r="D489" s="7"/>
      <c r="E489" s="7"/>
      <c r="F489" s="7"/>
      <c r="G489" s="7"/>
      <c r="H489" s="7"/>
      <c r="I489" s="7"/>
      <c r="J489" s="7"/>
      <c r="K489" s="20">
        <v>7781</v>
      </c>
      <c r="L489" s="20">
        <v>6527</v>
      </c>
      <c r="M489" s="20">
        <v>0</v>
      </c>
      <c r="N489" s="20">
        <v>0</v>
      </c>
      <c r="O489" s="20">
        <f>L489</f>
        <v>6527</v>
      </c>
      <c r="P489" s="454">
        <f t="shared" si="95"/>
        <v>0.8388381956046781</v>
      </c>
      <c r="Q489" s="292">
        <f t="shared" si="100"/>
        <v>0.00022299937803206503</v>
      </c>
      <c r="R489" s="293">
        <f t="shared" si="101"/>
        <v>0.00019903841908056023</v>
      </c>
    </row>
    <row r="490" spans="1:18" ht="13.5" customHeight="1">
      <c r="A490" s="26"/>
      <c r="B490" s="28" t="s">
        <v>702</v>
      </c>
      <c r="C490" s="29" t="s">
        <v>703</v>
      </c>
      <c r="D490" s="20">
        <v>1308000</v>
      </c>
      <c r="E490" s="20">
        <v>1138000</v>
      </c>
      <c r="F490" s="20">
        <v>0</v>
      </c>
      <c r="G490" s="20">
        <v>0</v>
      </c>
      <c r="H490" s="8">
        <v>728506</v>
      </c>
      <c r="I490" s="8">
        <v>0</v>
      </c>
      <c r="J490" s="8">
        <v>0</v>
      </c>
      <c r="K490" s="8">
        <v>808995</v>
      </c>
      <c r="L490" s="8">
        <v>918944</v>
      </c>
      <c r="M490" s="20">
        <v>0</v>
      </c>
      <c r="N490" s="21">
        <f>L490</f>
        <v>918944</v>
      </c>
      <c r="O490" s="21">
        <v>0</v>
      </c>
      <c r="P490" s="454">
        <f t="shared" si="95"/>
        <v>1.1359081329303642</v>
      </c>
      <c r="Q490" s="292">
        <f t="shared" si="100"/>
        <v>0.02318537229546979</v>
      </c>
      <c r="R490" s="293">
        <f t="shared" si="101"/>
        <v>0.028022852916127827</v>
      </c>
    </row>
    <row r="491" spans="1:18" ht="16.5" customHeight="1">
      <c r="A491" s="26"/>
      <c r="B491" s="28" t="s">
        <v>485</v>
      </c>
      <c r="C491" s="29" t="s">
        <v>512</v>
      </c>
      <c r="D491" s="20"/>
      <c r="E491" s="20"/>
      <c r="F491" s="20"/>
      <c r="G491" s="20"/>
      <c r="H491" s="8">
        <v>16210</v>
      </c>
      <c r="I491" s="8">
        <v>0</v>
      </c>
      <c r="J491" s="8">
        <v>0</v>
      </c>
      <c r="K491" s="8">
        <v>13778</v>
      </c>
      <c r="L491" s="8">
        <v>16210</v>
      </c>
      <c r="M491" s="20">
        <v>0</v>
      </c>
      <c r="N491" s="21">
        <f>L491</f>
        <v>16210</v>
      </c>
      <c r="O491" s="21">
        <v>0</v>
      </c>
      <c r="P491" s="454">
        <f t="shared" si="95"/>
        <v>1.176513282043838</v>
      </c>
      <c r="Q491" s="292">
        <f t="shared" si="100"/>
        <v>0.0003948702519632171</v>
      </c>
      <c r="R491" s="293">
        <f t="shared" si="101"/>
        <v>0.0004943178754858099</v>
      </c>
    </row>
    <row r="492" spans="1:18" s="37" customFormat="1" ht="24.75" customHeight="1">
      <c r="A492" s="26" t="s">
        <v>1007</v>
      </c>
      <c r="B492" s="17"/>
      <c r="C492" s="4" t="s">
        <v>1008</v>
      </c>
      <c r="D492" s="7"/>
      <c r="E492" s="7"/>
      <c r="F492" s="7"/>
      <c r="G492" s="7"/>
      <c r="H492" s="7"/>
      <c r="I492" s="7"/>
      <c r="J492" s="7"/>
      <c r="K492" s="7">
        <f>K493</f>
        <v>9381</v>
      </c>
      <c r="L492" s="7">
        <f>L493</f>
        <v>0</v>
      </c>
      <c r="M492" s="7">
        <f>M493</f>
        <v>0</v>
      </c>
      <c r="N492" s="19">
        <f>N493</f>
        <v>0</v>
      </c>
      <c r="O492" s="19">
        <f>O493</f>
        <v>0</v>
      </c>
      <c r="P492" s="454">
        <f t="shared" si="95"/>
        <v>0</v>
      </c>
      <c r="Q492" s="435">
        <f t="shared" si="100"/>
        <v>0.00026885453866068654</v>
      </c>
      <c r="R492" s="436">
        <f t="shared" si="101"/>
        <v>0</v>
      </c>
    </row>
    <row r="493" spans="1:18" ht="16.5" customHeight="1">
      <c r="A493" s="26"/>
      <c r="B493" s="28" t="s">
        <v>1009</v>
      </c>
      <c r="C493" s="29"/>
      <c r="D493" s="20"/>
      <c r="E493" s="20"/>
      <c r="F493" s="20"/>
      <c r="G493" s="20"/>
      <c r="H493" s="8"/>
      <c r="I493" s="8"/>
      <c r="J493" s="8"/>
      <c r="K493" s="8">
        <v>9381</v>
      </c>
      <c r="L493" s="8">
        <v>0</v>
      </c>
      <c r="M493" s="20">
        <f>L493</f>
        <v>0</v>
      </c>
      <c r="N493" s="21">
        <v>0</v>
      </c>
      <c r="O493" s="21">
        <v>0</v>
      </c>
      <c r="P493" s="454">
        <f t="shared" si="95"/>
        <v>0</v>
      </c>
      <c r="Q493" s="292">
        <f t="shared" si="100"/>
        <v>0.00026885453866068654</v>
      </c>
      <c r="R493" s="293">
        <f t="shared" si="101"/>
        <v>0</v>
      </c>
    </row>
    <row r="494" spans="1:18" ht="26.25" customHeight="1">
      <c r="A494" s="26" t="s">
        <v>596</v>
      </c>
      <c r="B494" s="28"/>
      <c r="C494" s="4" t="s">
        <v>714</v>
      </c>
      <c r="D494" s="7">
        <f>D495+D496+D497+D499</f>
        <v>134584</v>
      </c>
      <c r="E494" s="7">
        <f>E495+E496+E497+E498+E499+E501+E502+E503+E505+E507</f>
        <v>185500</v>
      </c>
      <c r="F494" s="7">
        <f>F495+F496+F497+F498+F499+F501+F502+F503+F505+F507</f>
        <v>5714</v>
      </c>
      <c r="G494" s="7">
        <f>G495+G496+G497+G498+G499+G501+G502+G503+G505+G507</f>
        <v>2671</v>
      </c>
      <c r="H494" s="7">
        <f>H495+H496+H497+H498+H501+H502+H503+H505+H507</f>
        <v>132083</v>
      </c>
      <c r="I494" s="7">
        <f>I495+I496+I497+I498+I501+I502+I503+I505+I507</f>
        <v>0</v>
      </c>
      <c r="J494" s="7">
        <f>J495+J496+J497+J498+J501+J502+J503+J505+J507</f>
        <v>0</v>
      </c>
      <c r="K494" s="7">
        <f>SUM(K495:K507)</f>
        <v>181106</v>
      </c>
      <c r="L494" s="7">
        <f>L495+L496+L497+L498+L500+L501+L502+L503+L504+L505+L506+L507</f>
        <v>218864</v>
      </c>
      <c r="M494" s="7">
        <f>M495+M496+M497+M498+M500+M501+M502+M503+M504+M505+M506+M507</f>
        <v>0</v>
      </c>
      <c r="N494" s="19">
        <f>N495+N496+N497+N498+N499+N500+N501+N502+N503+N504+N505+N506+N507</f>
        <v>218864</v>
      </c>
      <c r="O494" s="19">
        <f>O495+O496+O497+O498+O499+O500+O504+O505+O506+O507</f>
        <v>0</v>
      </c>
      <c r="P494" s="454">
        <f t="shared" si="95"/>
        <v>1.2084856382450058</v>
      </c>
      <c r="Q494" s="292">
        <f aca="true" t="shared" si="102" ref="Q494:Q512">K494/$K$662</f>
        <v>0.005190402950504456</v>
      </c>
      <c r="R494" s="293">
        <f aca="true" t="shared" si="103" ref="R494:R520">L494/$L$662</f>
        <v>0.006674175663191011</v>
      </c>
    </row>
    <row r="495" spans="1:18" ht="24.75" customHeight="1">
      <c r="A495" s="657"/>
      <c r="B495" s="28" t="s">
        <v>475</v>
      </c>
      <c r="C495" s="11" t="s">
        <v>476</v>
      </c>
      <c r="D495" s="8">
        <v>85744</v>
      </c>
      <c r="E495" s="8">
        <v>121480</v>
      </c>
      <c r="F495" s="8">
        <v>0</v>
      </c>
      <c r="G495" s="8">
        <v>2671</v>
      </c>
      <c r="H495" s="8">
        <v>72999</v>
      </c>
      <c r="I495" s="8">
        <v>0</v>
      </c>
      <c r="J495" s="8">
        <v>0</v>
      </c>
      <c r="K495" s="8">
        <v>104887</v>
      </c>
      <c r="L495" s="8">
        <v>130571</v>
      </c>
      <c r="M495" s="8">
        <v>0</v>
      </c>
      <c r="N495" s="24">
        <f>L495-M495</f>
        <v>130571</v>
      </c>
      <c r="O495" s="24">
        <v>0</v>
      </c>
      <c r="P495" s="454">
        <f t="shared" si="95"/>
        <v>1.2448730538579613</v>
      </c>
      <c r="Q495" s="292">
        <f t="shared" si="102"/>
        <v>0.0030060063955338907</v>
      </c>
      <c r="R495" s="293">
        <f t="shared" si="103"/>
        <v>0.003981713714994305</v>
      </c>
    </row>
    <row r="496" spans="1:18" ht="15" customHeight="1">
      <c r="A496" s="657"/>
      <c r="B496" s="28" t="s">
        <v>479</v>
      </c>
      <c r="C496" s="11" t="s">
        <v>480</v>
      </c>
      <c r="D496" s="8">
        <v>4800</v>
      </c>
      <c r="E496" s="8">
        <v>6578</v>
      </c>
      <c r="F496" s="8">
        <v>0</v>
      </c>
      <c r="G496" s="8">
        <v>0</v>
      </c>
      <c r="H496" s="20">
        <v>5710</v>
      </c>
      <c r="I496" s="8">
        <v>0</v>
      </c>
      <c r="J496" s="8">
        <v>0</v>
      </c>
      <c r="K496" s="8">
        <v>8155</v>
      </c>
      <c r="L496" s="8">
        <v>14301</v>
      </c>
      <c r="M496" s="8">
        <v>0</v>
      </c>
      <c r="N496" s="24">
        <f aca="true" t="shared" si="104" ref="N496:N507">L496-M496</f>
        <v>14301</v>
      </c>
      <c r="O496" s="24">
        <v>0</v>
      </c>
      <c r="P496" s="454">
        <f t="shared" si="95"/>
        <v>1.753648068669528</v>
      </c>
      <c r="Q496" s="292">
        <f t="shared" si="102"/>
        <v>0.0002337180218290053</v>
      </c>
      <c r="R496" s="293">
        <f t="shared" si="103"/>
        <v>0.00043610363586197204</v>
      </c>
    </row>
    <row r="497" spans="1:18" ht="16.5" customHeight="1">
      <c r="A497" s="657"/>
      <c r="B497" s="35" t="s">
        <v>532</v>
      </c>
      <c r="C497" s="11" t="s">
        <v>509</v>
      </c>
      <c r="D497" s="8">
        <v>18394</v>
      </c>
      <c r="E497" s="8">
        <v>22179</v>
      </c>
      <c r="F497" s="8">
        <v>0</v>
      </c>
      <c r="G497" s="8">
        <v>0</v>
      </c>
      <c r="H497" s="20">
        <v>14515</v>
      </c>
      <c r="I497" s="8">
        <v>0</v>
      </c>
      <c r="J497" s="8">
        <v>0</v>
      </c>
      <c r="K497" s="8">
        <v>19800</v>
      </c>
      <c r="L497" s="8">
        <v>26352</v>
      </c>
      <c r="M497" s="8">
        <v>0</v>
      </c>
      <c r="N497" s="24">
        <f t="shared" si="104"/>
        <v>26352</v>
      </c>
      <c r="O497" s="24">
        <v>0</v>
      </c>
      <c r="P497" s="454">
        <f t="shared" si="95"/>
        <v>1.3309090909090908</v>
      </c>
      <c r="Q497" s="292">
        <f t="shared" si="102"/>
        <v>0.0005674576127791913</v>
      </c>
      <c r="R497" s="293">
        <f t="shared" si="103"/>
        <v>0.0008035943648860001</v>
      </c>
    </row>
    <row r="498" spans="1:18" ht="16.5" customHeight="1">
      <c r="A498" s="657"/>
      <c r="B498" s="35" t="s">
        <v>483</v>
      </c>
      <c r="C498" s="11" t="s">
        <v>484</v>
      </c>
      <c r="D498" s="8"/>
      <c r="E498" s="8">
        <v>3039</v>
      </c>
      <c r="F498" s="8">
        <v>0</v>
      </c>
      <c r="G498" s="8">
        <v>0</v>
      </c>
      <c r="H498" s="20">
        <v>1927</v>
      </c>
      <c r="I498" s="8">
        <v>0</v>
      </c>
      <c r="J498" s="8">
        <v>0</v>
      </c>
      <c r="K498" s="8">
        <v>3480</v>
      </c>
      <c r="L498" s="8">
        <v>3549</v>
      </c>
      <c r="M498" s="8">
        <v>0</v>
      </c>
      <c r="N498" s="24">
        <f t="shared" si="104"/>
        <v>3549</v>
      </c>
      <c r="O498" s="24">
        <v>0</v>
      </c>
      <c r="P498" s="454">
        <f t="shared" si="95"/>
        <v>1.0198275862068966</v>
      </c>
      <c r="Q498" s="292">
        <f t="shared" si="102"/>
        <v>9.97349743672518E-05</v>
      </c>
      <c r="R498" s="293">
        <f t="shared" si="103"/>
        <v>0.00010822542505238367</v>
      </c>
    </row>
    <row r="499" spans="1:18" ht="16.5" customHeight="1" hidden="1">
      <c r="A499" s="657"/>
      <c r="B499" s="28"/>
      <c r="C499" s="8" t="s">
        <v>523</v>
      </c>
      <c r="D499" s="8">
        <v>25646</v>
      </c>
      <c r="E499" s="8">
        <v>840</v>
      </c>
      <c r="F499" s="8">
        <v>0</v>
      </c>
      <c r="G499" s="8">
        <v>0</v>
      </c>
      <c r="H499" s="20"/>
      <c r="I499" s="8">
        <v>0</v>
      </c>
      <c r="J499" s="8">
        <v>0</v>
      </c>
      <c r="K499" s="8">
        <v>0</v>
      </c>
      <c r="L499" s="8"/>
      <c r="M499" s="8"/>
      <c r="N499" s="24">
        <f t="shared" si="104"/>
        <v>0</v>
      </c>
      <c r="O499" s="24">
        <v>0</v>
      </c>
      <c r="P499" s="454" t="e">
        <f t="shared" si="95"/>
        <v>#DIV/0!</v>
      </c>
      <c r="Q499" s="292">
        <f t="shared" si="102"/>
        <v>0</v>
      </c>
      <c r="R499" s="293">
        <f t="shared" si="103"/>
        <v>0</v>
      </c>
    </row>
    <row r="500" spans="1:18" ht="16.5" customHeight="1">
      <c r="A500" s="23"/>
      <c r="B500" s="28" t="s">
        <v>256</v>
      </c>
      <c r="C500" s="8" t="s">
        <v>257</v>
      </c>
      <c r="D500" s="8"/>
      <c r="E500" s="8"/>
      <c r="F500" s="8"/>
      <c r="G500" s="8"/>
      <c r="H500" s="20"/>
      <c r="I500" s="8"/>
      <c r="J500" s="8"/>
      <c r="K500" s="8">
        <v>1000</v>
      </c>
      <c r="L500" s="8">
        <v>1000</v>
      </c>
      <c r="M500" s="8">
        <v>0</v>
      </c>
      <c r="N500" s="24">
        <f>L500</f>
        <v>1000</v>
      </c>
      <c r="O500" s="24">
        <v>0</v>
      </c>
      <c r="P500" s="454">
        <f t="shared" si="95"/>
        <v>1</v>
      </c>
      <c r="Q500" s="292">
        <f t="shared" si="102"/>
        <v>2.865947539288845E-05</v>
      </c>
      <c r="R500" s="293">
        <f t="shared" si="103"/>
        <v>3.0494625261308444E-05</v>
      </c>
    </row>
    <row r="501" spans="1:18" ht="15.75" customHeight="1">
      <c r="A501" s="23"/>
      <c r="B501" s="28" t="s">
        <v>485</v>
      </c>
      <c r="C501" s="8" t="s">
        <v>631</v>
      </c>
      <c r="D501" s="8"/>
      <c r="E501" s="8">
        <v>5070</v>
      </c>
      <c r="F501" s="8">
        <v>500</v>
      </c>
      <c r="G501" s="8">
        <v>0</v>
      </c>
      <c r="H501" s="20">
        <v>7461</v>
      </c>
      <c r="I501" s="8">
        <v>0</v>
      </c>
      <c r="J501" s="8">
        <v>0</v>
      </c>
      <c r="K501" s="8">
        <v>15087</v>
      </c>
      <c r="L501" s="8">
        <v>15210</v>
      </c>
      <c r="M501" s="8">
        <v>0</v>
      </c>
      <c r="N501" s="24">
        <f t="shared" si="104"/>
        <v>15210</v>
      </c>
      <c r="O501" s="24">
        <v>0</v>
      </c>
      <c r="P501" s="454">
        <f t="shared" si="95"/>
        <v>1.0081527142573077</v>
      </c>
      <c r="Q501" s="292">
        <f t="shared" si="102"/>
        <v>0.00043238550525250805</v>
      </c>
      <c r="R501" s="293">
        <f t="shared" si="103"/>
        <v>0.0004638232502245014</v>
      </c>
    </row>
    <row r="502" spans="1:18" ht="15.75" customHeight="1">
      <c r="A502" s="23"/>
      <c r="B502" s="28" t="s">
        <v>487</v>
      </c>
      <c r="C502" s="8" t="s">
        <v>584</v>
      </c>
      <c r="D502" s="8"/>
      <c r="E502" s="8">
        <v>3015</v>
      </c>
      <c r="F502" s="8">
        <v>500</v>
      </c>
      <c r="G502" s="8">
        <v>0</v>
      </c>
      <c r="H502" s="20">
        <v>6000</v>
      </c>
      <c r="I502" s="8">
        <v>0</v>
      </c>
      <c r="J502" s="8">
        <v>0</v>
      </c>
      <c r="K502" s="8">
        <v>6800</v>
      </c>
      <c r="L502" s="8">
        <v>11260</v>
      </c>
      <c r="M502" s="8">
        <v>0</v>
      </c>
      <c r="N502" s="24">
        <f t="shared" si="104"/>
        <v>11260</v>
      </c>
      <c r="O502" s="24">
        <v>0</v>
      </c>
      <c r="P502" s="454">
        <f t="shared" si="95"/>
        <v>1.6558823529411764</v>
      </c>
      <c r="Q502" s="292">
        <f t="shared" si="102"/>
        <v>0.00019488443267164145</v>
      </c>
      <c r="R502" s="293">
        <f t="shared" si="103"/>
        <v>0.00034336948044233305</v>
      </c>
    </row>
    <row r="503" spans="1:18" ht="15.75" customHeight="1">
      <c r="A503" s="23"/>
      <c r="B503" s="28" t="s">
        <v>491</v>
      </c>
      <c r="C503" s="8" t="s">
        <v>586</v>
      </c>
      <c r="D503" s="8"/>
      <c r="E503" s="8">
        <v>19008</v>
      </c>
      <c r="F503" s="8">
        <v>2043</v>
      </c>
      <c r="G503" s="8">
        <v>0</v>
      </c>
      <c r="H503" s="8">
        <v>19291</v>
      </c>
      <c r="I503" s="8">
        <v>0</v>
      </c>
      <c r="J503" s="8">
        <v>0</v>
      </c>
      <c r="K503" s="8">
        <v>13159</v>
      </c>
      <c r="L503" s="8">
        <v>8772</v>
      </c>
      <c r="M503" s="8">
        <v>0</v>
      </c>
      <c r="N503" s="24">
        <f t="shared" si="104"/>
        <v>8772</v>
      </c>
      <c r="O503" s="24">
        <v>0</v>
      </c>
      <c r="P503" s="454">
        <f t="shared" si="95"/>
        <v>0.6666160042556425</v>
      </c>
      <c r="Q503" s="292">
        <f t="shared" si="102"/>
        <v>0.0003771300366950191</v>
      </c>
      <c r="R503" s="293">
        <f t="shared" si="103"/>
        <v>0.00026749885279219766</v>
      </c>
    </row>
    <row r="504" spans="1:18" ht="15.75" customHeight="1">
      <c r="A504" s="23"/>
      <c r="B504" s="28" t="s">
        <v>258</v>
      </c>
      <c r="C504" s="8" t="s">
        <v>259</v>
      </c>
      <c r="D504" s="8"/>
      <c r="E504" s="8"/>
      <c r="F504" s="8"/>
      <c r="G504" s="8"/>
      <c r="H504" s="8"/>
      <c r="I504" s="8"/>
      <c r="J504" s="8"/>
      <c r="K504" s="8">
        <v>864</v>
      </c>
      <c r="L504" s="8">
        <v>1449</v>
      </c>
      <c r="M504" s="8">
        <v>0</v>
      </c>
      <c r="N504" s="24">
        <f>L504</f>
        <v>1449</v>
      </c>
      <c r="O504" s="24">
        <v>0</v>
      </c>
      <c r="P504" s="454">
        <f t="shared" si="95"/>
        <v>1.6770833333333333</v>
      </c>
      <c r="Q504" s="292">
        <f t="shared" si="102"/>
        <v>2.476178673945562E-05</v>
      </c>
      <c r="R504" s="293">
        <f t="shared" si="103"/>
        <v>4.4186712003635934E-05</v>
      </c>
    </row>
    <row r="505" spans="1:18" ht="15" customHeight="1">
      <c r="A505" s="23"/>
      <c r="B505" s="28" t="s">
        <v>493</v>
      </c>
      <c r="C505" s="8" t="s">
        <v>494</v>
      </c>
      <c r="D505" s="8"/>
      <c r="E505" s="8">
        <v>2618</v>
      </c>
      <c r="F505" s="8">
        <v>0</v>
      </c>
      <c r="G505" s="8">
        <v>0</v>
      </c>
      <c r="H505" s="8">
        <v>1000</v>
      </c>
      <c r="I505" s="8">
        <v>0</v>
      </c>
      <c r="J505" s="8">
        <v>0</v>
      </c>
      <c r="K505" s="8">
        <v>800</v>
      </c>
      <c r="L505" s="8">
        <v>1200</v>
      </c>
      <c r="M505" s="8">
        <v>0</v>
      </c>
      <c r="N505" s="24">
        <f t="shared" si="104"/>
        <v>1200</v>
      </c>
      <c r="O505" s="24">
        <v>0</v>
      </c>
      <c r="P505" s="454">
        <f t="shared" si="95"/>
        <v>1.5</v>
      </c>
      <c r="Q505" s="292">
        <f t="shared" si="102"/>
        <v>2.2927580314310758E-05</v>
      </c>
      <c r="R505" s="293">
        <f t="shared" si="103"/>
        <v>3.659355031357013E-05</v>
      </c>
    </row>
    <row r="506" spans="1:18" ht="15" customHeight="1">
      <c r="A506" s="23"/>
      <c r="B506" s="28" t="s">
        <v>286</v>
      </c>
      <c r="C506" s="8" t="s">
        <v>982</v>
      </c>
      <c r="D506" s="8"/>
      <c r="E506" s="8"/>
      <c r="F506" s="8"/>
      <c r="G506" s="8"/>
      <c r="H506" s="8"/>
      <c r="I506" s="8"/>
      <c r="J506" s="8"/>
      <c r="K506" s="8">
        <v>108</v>
      </c>
      <c r="L506" s="8">
        <v>120</v>
      </c>
      <c r="M506" s="8">
        <v>0</v>
      </c>
      <c r="N506" s="24">
        <f>L506</f>
        <v>120</v>
      </c>
      <c r="O506" s="24">
        <v>0</v>
      </c>
      <c r="P506" s="454">
        <f t="shared" si="95"/>
        <v>1.1111111111111112</v>
      </c>
      <c r="Q506" s="292">
        <f t="shared" si="102"/>
        <v>3.0952233424319527E-06</v>
      </c>
      <c r="R506" s="293">
        <f t="shared" si="103"/>
        <v>3.6593550313570135E-06</v>
      </c>
    </row>
    <row r="507" spans="1:18" ht="14.25" customHeight="1">
      <c r="A507" s="23"/>
      <c r="B507" s="28" t="s">
        <v>497</v>
      </c>
      <c r="C507" s="8" t="s">
        <v>498</v>
      </c>
      <c r="D507" s="8"/>
      <c r="E507" s="8">
        <v>1673</v>
      </c>
      <c r="F507" s="8">
        <v>2671</v>
      </c>
      <c r="G507" s="8">
        <v>0</v>
      </c>
      <c r="H507" s="8">
        <v>3180</v>
      </c>
      <c r="I507" s="8">
        <v>0</v>
      </c>
      <c r="J507" s="8">
        <v>0</v>
      </c>
      <c r="K507" s="8">
        <v>6966</v>
      </c>
      <c r="L507" s="8">
        <v>5080</v>
      </c>
      <c r="M507" s="8">
        <v>0</v>
      </c>
      <c r="N507" s="24">
        <f t="shared" si="104"/>
        <v>5080</v>
      </c>
      <c r="O507" s="24">
        <v>0</v>
      </c>
      <c r="P507" s="454">
        <f t="shared" si="95"/>
        <v>0.7292563881711168</v>
      </c>
      <c r="Q507" s="292">
        <f t="shared" si="102"/>
        <v>0.00019964190558686095</v>
      </c>
      <c r="R507" s="293">
        <f t="shared" si="103"/>
        <v>0.0001549126963274469</v>
      </c>
    </row>
    <row r="508" spans="1:18" s="37" customFormat="1" ht="52.5" customHeight="1">
      <c r="A508" s="26" t="s">
        <v>789</v>
      </c>
      <c r="B508" s="17"/>
      <c r="C508" s="4" t="s">
        <v>790</v>
      </c>
      <c r="D508" s="7"/>
      <c r="E508" s="7"/>
      <c r="F508" s="7"/>
      <c r="G508" s="7"/>
      <c r="H508" s="7"/>
      <c r="I508" s="7"/>
      <c r="J508" s="7"/>
      <c r="K508" s="7">
        <f>SUM(K509:K519)</f>
        <v>36650</v>
      </c>
      <c r="L508" s="7">
        <f>SUM(L509:L519)</f>
        <v>46168</v>
      </c>
      <c r="M508" s="7">
        <f>SUM(M509:M519)</f>
        <v>0</v>
      </c>
      <c r="N508" s="7">
        <f>SUM(N509:N519)</f>
        <v>46168</v>
      </c>
      <c r="O508" s="7">
        <f>SUM(O509:O519)</f>
        <v>0</v>
      </c>
      <c r="P508" s="454">
        <f t="shared" si="95"/>
        <v>1.259699863574352</v>
      </c>
      <c r="Q508" s="292">
        <f t="shared" si="102"/>
        <v>0.0010503697731493616</v>
      </c>
      <c r="R508" s="293">
        <f t="shared" si="103"/>
        <v>0.0014078758590640882</v>
      </c>
    </row>
    <row r="509" spans="1:18" s="37" customFormat="1" ht="23.25" customHeight="1">
      <c r="A509" s="26"/>
      <c r="B509" s="30" t="s">
        <v>475</v>
      </c>
      <c r="C509" s="11" t="s">
        <v>476</v>
      </c>
      <c r="D509" s="20"/>
      <c r="E509" s="20"/>
      <c r="F509" s="20"/>
      <c r="G509" s="20"/>
      <c r="H509" s="20"/>
      <c r="I509" s="20"/>
      <c r="J509" s="20"/>
      <c r="K509" s="20">
        <v>0</v>
      </c>
      <c r="L509" s="20">
        <v>24101</v>
      </c>
      <c r="M509" s="20">
        <v>0</v>
      </c>
      <c r="N509" s="20">
        <f>L509</f>
        <v>24101</v>
      </c>
      <c r="O509" s="20">
        <v>0</v>
      </c>
      <c r="P509" s="454">
        <v>0</v>
      </c>
      <c r="Q509" s="292">
        <f t="shared" si="102"/>
        <v>0</v>
      </c>
      <c r="R509" s="293">
        <f t="shared" si="103"/>
        <v>0.0007349509634227948</v>
      </c>
    </row>
    <row r="510" spans="1:18" s="37" customFormat="1" ht="14.25" customHeight="1">
      <c r="A510" s="26"/>
      <c r="B510" s="30" t="s">
        <v>508</v>
      </c>
      <c r="C510" s="11" t="s">
        <v>509</v>
      </c>
      <c r="D510" s="20"/>
      <c r="E510" s="20"/>
      <c r="F510" s="20"/>
      <c r="G510" s="20"/>
      <c r="H510" s="20"/>
      <c r="I510" s="20"/>
      <c r="J510" s="20"/>
      <c r="K510" s="20">
        <v>0</v>
      </c>
      <c r="L510" s="20">
        <v>4384</v>
      </c>
      <c r="M510" s="20">
        <v>0</v>
      </c>
      <c r="N510" s="20">
        <f aca="true" t="shared" si="105" ref="N510:N519">L510</f>
        <v>4384</v>
      </c>
      <c r="O510" s="20">
        <v>0</v>
      </c>
      <c r="P510" s="454">
        <v>0</v>
      </c>
      <c r="Q510" s="292">
        <f t="shared" si="102"/>
        <v>0</v>
      </c>
      <c r="R510" s="293">
        <f t="shared" si="103"/>
        <v>0.00013368843714557622</v>
      </c>
    </row>
    <row r="511" spans="1:18" s="37" customFormat="1" ht="13.5" customHeight="1">
      <c r="A511" s="26"/>
      <c r="B511" s="30" t="s">
        <v>483</v>
      </c>
      <c r="C511" s="11" t="s">
        <v>484</v>
      </c>
      <c r="D511" s="20"/>
      <c r="E511" s="20"/>
      <c r="F511" s="20"/>
      <c r="G511" s="20"/>
      <c r="H511" s="20"/>
      <c r="I511" s="20"/>
      <c r="J511" s="20"/>
      <c r="K511" s="20">
        <v>0</v>
      </c>
      <c r="L511" s="20">
        <v>590</v>
      </c>
      <c r="M511" s="20">
        <v>0</v>
      </c>
      <c r="N511" s="20">
        <f t="shared" si="105"/>
        <v>590</v>
      </c>
      <c r="O511" s="20">
        <v>0</v>
      </c>
      <c r="P511" s="454">
        <v>0</v>
      </c>
      <c r="Q511" s="292">
        <f t="shared" si="102"/>
        <v>0</v>
      </c>
      <c r="R511" s="293">
        <f t="shared" si="103"/>
        <v>1.7991828904171983E-05</v>
      </c>
    </row>
    <row r="512" spans="1:18" ht="14.25" customHeight="1">
      <c r="A512" s="23"/>
      <c r="B512" s="28" t="s">
        <v>485</v>
      </c>
      <c r="C512" s="8" t="s">
        <v>486</v>
      </c>
      <c r="D512" s="8"/>
      <c r="E512" s="8"/>
      <c r="F512" s="8"/>
      <c r="G512" s="8"/>
      <c r="H512" s="8"/>
      <c r="I512" s="8"/>
      <c r="J512" s="8"/>
      <c r="K512" s="8">
        <v>30000</v>
      </c>
      <c r="L512" s="20">
        <v>5500</v>
      </c>
      <c r="M512" s="20">
        <v>0</v>
      </c>
      <c r="N512" s="20">
        <f t="shared" si="105"/>
        <v>5500</v>
      </c>
      <c r="O512" s="20">
        <v>0</v>
      </c>
      <c r="P512" s="454">
        <f t="shared" si="95"/>
        <v>0.18333333333333332</v>
      </c>
      <c r="Q512" s="292">
        <f t="shared" si="102"/>
        <v>0.0008597842617866535</v>
      </c>
      <c r="R512" s="293">
        <f t="shared" si="103"/>
        <v>0.00016772043893719643</v>
      </c>
    </row>
    <row r="513" spans="1:18" ht="14.25" customHeight="1">
      <c r="A513" s="23"/>
      <c r="B513" s="28" t="s">
        <v>710</v>
      </c>
      <c r="C513" s="8" t="s">
        <v>319</v>
      </c>
      <c r="D513" s="8"/>
      <c r="E513" s="8"/>
      <c r="F513" s="8"/>
      <c r="G513" s="8"/>
      <c r="H513" s="8"/>
      <c r="I513" s="8"/>
      <c r="J513" s="8"/>
      <c r="K513" s="8">
        <v>0</v>
      </c>
      <c r="L513" s="20">
        <v>300</v>
      </c>
      <c r="M513" s="20">
        <v>0</v>
      </c>
      <c r="N513" s="20">
        <f t="shared" si="105"/>
        <v>300</v>
      </c>
      <c r="O513" s="20">
        <v>0</v>
      </c>
      <c r="P513" s="454">
        <v>0</v>
      </c>
      <c r="Q513" s="20">
        <f aca="true" t="shared" si="106" ref="Q513:Q520">SUM(Q517:Q521)</f>
        <v>0.0029999879057013836</v>
      </c>
      <c r="R513" s="293">
        <f t="shared" si="103"/>
        <v>9.148387578392533E-06</v>
      </c>
    </row>
    <row r="514" spans="1:18" ht="14.25" customHeight="1">
      <c r="A514" s="23"/>
      <c r="B514" s="28" t="s">
        <v>487</v>
      </c>
      <c r="C514" s="8" t="s">
        <v>584</v>
      </c>
      <c r="D514" s="8"/>
      <c r="E514" s="8"/>
      <c r="F514" s="8"/>
      <c r="G514" s="8"/>
      <c r="H514" s="8"/>
      <c r="I514" s="8"/>
      <c r="J514" s="8"/>
      <c r="K514" s="8">
        <v>450</v>
      </c>
      <c r="L514" s="20">
        <v>5820</v>
      </c>
      <c r="M514" s="20">
        <v>0</v>
      </c>
      <c r="N514" s="20">
        <f t="shared" si="105"/>
        <v>5820</v>
      </c>
      <c r="O514" s="20">
        <v>0</v>
      </c>
      <c r="P514" s="454">
        <v>0</v>
      </c>
      <c r="Q514" s="20">
        <f t="shared" si="106"/>
        <v>0.00190811921218312</v>
      </c>
      <c r="R514" s="293">
        <f t="shared" si="103"/>
        <v>0.00017747871902081515</v>
      </c>
    </row>
    <row r="515" spans="1:18" ht="14.25" customHeight="1">
      <c r="A515" s="23"/>
      <c r="B515" s="28" t="s">
        <v>489</v>
      </c>
      <c r="C515" s="8" t="s">
        <v>585</v>
      </c>
      <c r="D515" s="8"/>
      <c r="E515" s="8"/>
      <c r="F515" s="8"/>
      <c r="G515" s="8"/>
      <c r="H515" s="8"/>
      <c r="I515" s="8"/>
      <c r="J515" s="8"/>
      <c r="K515" s="8">
        <v>0</v>
      </c>
      <c r="L515" s="20">
        <v>0</v>
      </c>
      <c r="M515" s="20">
        <v>0</v>
      </c>
      <c r="N515" s="20">
        <f t="shared" si="105"/>
        <v>0</v>
      </c>
      <c r="O515" s="20">
        <v>0</v>
      </c>
      <c r="P515" s="454">
        <v>0</v>
      </c>
      <c r="Q515" s="20">
        <f t="shared" si="106"/>
        <v>0.0017088212203009736</v>
      </c>
      <c r="R515" s="293">
        <f t="shared" si="103"/>
        <v>0</v>
      </c>
    </row>
    <row r="516" spans="1:18" ht="14.25" customHeight="1">
      <c r="A516" s="23"/>
      <c r="B516" s="28" t="s">
        <v>491</v>
      </c>
      <c r="C516" s="8" t="s">
        <v>586</v>
      </c>
      <c r="D516" s="8"/>
      <c r="E516" s="8"/>
      <c r="F516" s="8"/>
      <c r="G516" s="8"/>
      <c r="H516" s="8"/>
      <c r="I516" s="8"/>
      <c r="J516" s="8"/>
      <c r="K516" s="8">
        <v>6200</v>
      </c>
      <c r="L516" s="20">
        <v>2280</v>
      </c>
      <c r="M516" s="20">
        <v>0</v>
      </c>
      <c r="N516" s="20">
        <f t="shared" si="105"/>
        <v>2280</v>
      </c>
      <c r="O516" s="20">
        <v>0</v>
      </c>
      <c r="P516" s="454">
        <f t="shared" si="95"/>
        <v>0.36774193548387096</v>
      </c>
      <c r="Q516" s="20">
        <f t="shared" si="106"/>
        <v>0.001378864680102649</v>
      </c>
      <c r="R516" s="293">
        <f t="shared" si="103"/>
        <v>6.952774559578325E-05</v>
      </c>
    </row>
    <row r="517" spans="1:18" ht="14.25" customHeight="1">
      <c r="A517" s="23"/>
      <c r="B517" s="28" t="s">
        <v>258</v>
      </c>
      <c r="C517" s="8" t="s">
        <v>259</v>
      </c>
      <c r="D517" s="8"/>
      <c r="E517" s="8"/>
      <c r="F517" s="8"/>
      <c r="G517" s="8"/>
      <c r="H517" s="8"/>
      <c r="I517" s="8"/>
      <c r="J517" s="8"/>
      <c r="K517" s="8">
        <v>0</v>
      </c>
      <c r="L517" s="20">
        <v>864</v>
      </c>
      <c r="M517" s="20">
        <v>0</v>
      </c>
      <c r="N517" s="20">
        <f t="shared" si="105"/>
        <v>864</v>
      </c>
      <c r="O517" s="20">
        <v>0</v>
      </c>
      <c r="P517" s="454">
        <v>0</v>
      </c>
      <c r="Q517" s="20">
        <f t="shared" si="106"/>
        <v>0.0011801112182529675</v>
      </c>
      <c r="R517" s="293">
        <f t="shared" si="103"/>
        <v>2.6347356225770497E-05</v>
      </c>
    </row>
    <row r="518" spans="1:18" ht="14.25" customHeight="1">
      <c r="A518" s="23"/>
      <c r="B518" s="28" t="s">
        <v>493</v>
      </c>
      <c r="C518" s="8" t="s">
        <v>494</v>
      </c>
      <c r="D518" s="8"/>
      <c r="E518" s="8"/>
      <c r="F518" s="8"/>
      <c r="G518" s="8"/>
      <c r="H518" s="8"/>
      <c r="I518" s="8"/>
      <c r="J518" s="8"/>
      <c r="K518" s="8">
        <v>0</v>
      </c>
      <c r="L518" s="20">
        <v>1200</v>
      </c>
      <c r="M518" s="20">
        <v>0</v>
      </c>
      <c r="N518" s="20">
        <f t="shared" si="105"/>
        <v>1200</v>
      </c>
      <c r="O518" s="20">
        <v>0</v>
      </c>
      <c r="P518" s="454">
        <v>0</v>
      </c>
      <c r="Q518" s="20">
        <f t="shared" si="106"/>
        <v>0.00037678612299030446</v>
      </c>
      <c r="R518" s="293">
        <f t="shared" si="103"/>
        <v>3.659355031357013E-05</v>
      </c>
    </row>
    <row r="519" spans="1:18" ht="14.25" customHeight="1">
      <c r="A519" s="23"/>
      <c r="B519" s="28" t="s">
        <v>497</v>
      </c>
      <c r="C519" s="8" t="s">
        <v>498</v>
      </c>
      <c r="D519" s="8"/>
      <c r="E519" s="8"/>
      <c r="F519" s="8"/>
      <c r="G519" s="8"/>
      <c r="H519" s="8"/>
      <c r="I519" s="8"/>
      <c r="J519" s="8"/>
      <c r="K519" s="8">
        <v>0</v>
      </c>
      <c r="L519" s="20">
        <v>1129</v>
      </c>
      <c r="M519" s="20">
        <v>0</v>
      </c>
      <c r="N519" s="20">
        <f t="shared" si="105"/>
        <v>1129</v>
      </c>
      <c r="O519" s="20">
        <v>0</v>
      </c>
      <c r="P519" s="454">
        <v>0</v>
      </c>
      <c r="Q519" s="20">
        <f t="shared" si="106"/>
        <v>0.00035388720215138655</v>
      </c>
      <c r="R519" s="293">
        <f t="shared" si="103"/>
        <v>3.442843192001723E-05</v>
      </c>
    </row>
    <row r="520" spans="1:18" ht="14.25" customHeight="1">
      <c r="A520" s="26" t="s">
        <v>601</v>
      </c>
      <c r="B520" s="26"/>
      <c r="C520" s="4" t="s">
        <v>717</v>
      </c>
      <c r="D520" s="7"/>
      <c r="E520" s="7" t="e">
        <f>E521+#REF!+#REF!+E523+E524+E529+E527</f>
        <v>#REF!</v>
      </c>
      <c r="F520" s="7" t="e">
        <f>F521+#REF!+#REF!+F523+F524+F529+F527</f>
        <v>#REF!</v>
      </c>
      <c r="G520" s="7" t="e">
        <f>G521+#REF!+#REF!+G523+G524+G529+G527</f>
        <v>#REF!</v>
      </c>
      <c r="H520" s="7">
        <f>H521+H522+H523+H524+H527+H528+H529+H525</f>
        <v>70901</v>
      </c>
      <c r="I520" s="7">
        <f>I521+I522+I523+I524+I527+I528+I529+I525</f>
        <v>0</v>
      </c>
      <c r="J520" s="7">
        <f>J521+J522+J523+J524+J527+J528+J529+J525</f>
        <v>0</v>
      </c>
      <c r="K520" s="7">
        <f>SUM(K521:K529)</f>
        <v>48377</v>
      </c>
      <c r="L520" s="7">
        <f>L521+L522+L523+L524+L527+L528+L529+L525+L526</f>
        <v>0</v>
      </c>
      <c r="M520" s="7">
        <f>SUM(M521:M523)</f>
        <v>0</v>
      </c>
      <c r="N520" s="7">
        <f>N521+N522+N523+N524+N527+N528+N529+N525+N526</f>
        <v>0</v>
      </c>
      <c r="O520" s="7">
        <f>O521+O522+O523+O524+O527+O528+O529+O525+O526</f>
        <v>0</v>
      </c>
      <c r="P520" s="454">
        <f t="shared" si="95"/>
        <v>0</v>
      </c>
      <c r="Q520" s="20">
        <f t="shared" si="106"/>
        <v>0.00020505854643611688</v>
      </c>
      <c r="R520" s="293">
        <f t="shared" si="103"/>
        <v>0</v>
      </c>
    </row>
    <row r="521" spans="1:18" ht="21.75" customHeight="1">
      <c r="A521" s="23"/>
      <c r="B521" s="23" t="s">
        <v>475</v>
      </c>
      <c r="C521" s="29" t="s">
        <v>476</v>
      </c>
      <c r="D521" s="8"/>
      <c r="E521" s="8">
        <v>14600</v>
      </c>
      <c r="F521" s="8">
        <v>0</v>
      </c>
      <c r="G521" s="8">
        <v>5468</v>
      </c>
      <c r="H521" s="8">
        <v>48240</v>
      </c>
      <c r="I521" s="8">
        <v>0</v>
      </c>
      <c r="J521" s="8">
        <v>0</v>
      </c>
      <c r="K521" s="8">
        <v>30850</v>
      </c>
      <c r="L521" s="8">
        <v>0</v>
      </c>
      <c r="M521" s="8">
        <v>0</v>
      </c>
      <c r="N521" s="24">
        <f>L521</f>
        <v>0</v>
      </c>
      <c r="O521" s="24">
        <v>0</v>
      </c>
      <c r="P521" s="454">
        <f t="shared" si="95"/>
        <v>0</v>
      </c>
      <c r="Q521" s="292">
        <f aca="true" t="shared" si="107" ref="Q521:Q531">K521/$K$662</f>
        <v>0.0008841448158706086</v>
      </c>
      <c r="R521" s="293">
        <f aca="true" t="shared" si="108" ref="R521:R532">L521/$L$662</f>
        <v>0</v>
      </c>
    </row>
    <row r="522" spans="1:18" ht="14.25" customHeight="1">
      <c r="A522" s="23"/>
      <c r="B522" s="23" t="s">
        <v>479</v>
      </c>
      <c r="C522" s="29" t="s">
        <v>480</v>
      </c>
      <c r="D522" s="8"/>
      <c r="E522" s="8"/>
      <c r="F522" s="8"/>
      <c r="G522" s="8"/>
      <c r="H522" s="8">
        <v>2344</v>
      </c>
      <c r="I522" s="8">
        <v>0</v>
      </c>
      <c r="J522" s="8">
        <v>0</v>
      </c>
      <c r="K522" s="8">
        <v>3079</v>
      </c>
      <c r="L522" s="8">
        <v>0</v>
      </c>
      <c r="M522" s="8">
        <v>0</v>
      </c>
      <c r="N522" s="24">
        <f aca="true" t="shared" si="109" ref="N522:N529">L522</f>
        <v>0</v>
      </c>
      <c r="O522" s="24">
        <v>0</v>
      </c>
      <c r="P522" s="454">
        <f t="shared" si="95"/>
        <v>0</v>
      </c>
      <c r="Q522" s="292">
        <f t="shared" si="107"/>
        <v>8.824252473470354E-05</v>
      </c>
      <c r="R522" s="293">
        <f t="shared" si="108"/>
        <v>0</v>
      </c>
    </row>
    <row r="523" spans="1:18" ht="14.25" customHeight="1">
      <c r="A523" s="23"/>
      <c r="B523" s="23" t="s">
        <v>508</v>
      </c>
      <c r="C523" s="29" t="s">
        <v>716</v>
      </c>
      <c r="D523" s="8"/>
      <c r="E523" s="8">
        <v>2610</v>
      </c>
      <c r="F523" s="8">
        <v>0</v>
      </c>
      <c r="G523" s="8">
        <v>977</v>
      </c>
      <c r="H523" s="8">
        <v>8606</v>
      </c>
      <c r="I523" s="8">
        <v>0</v>
      </c>
      <c r="J523" s="8">
        <v>0</v>
      </c>
      <c r="K523" s="8">
        <v>6193</v>
      </c>
      <c r="L523" s="8">
        <v>0</v>
      </c>
      <c r="M523" s="8">
        <v>0</v>
      </c>
      <c r="N523" s="24">
        <f t="shared" si="109"/>
        <v>0</v>
      </c>
      <c r="O523" s="24">
        <v>0</v>
      </c>
      <c r="P523" s="454">
        <f t="shared" si="95"/>
        <v>0</v>
      </c>
      <c r="Q523" s="292">
        <f t="shared" si="107"/>
        <v>0.00017748813110815816</v>
      </c>
      <c r="R523" s="293">
        <f t="shared" si="108"/>
        <v>0</v>
      </c>
    </row>
    <row r="524" spans="1:18" ht="14.25" customHeight="1">
      <c r="A524" s="23"/>
      <c r="B524" s="23" t="s">
        <v>483</v>
      </c>
      <c r="C524" s="29" t="s">
        <v>718</v>
      </c>
      <c r="D524" s="8"/>
      <c r="E524" s="8">
        <v>358</v>
      </c>
      <c r="F524" s="8">
        <v>0</v>
      </c>
      <c r="G524" s="8">
        <v>134</v>
      </c>
      <c r="H524" s="8">
        <v>1470</v>
      </c>
      <c r="I524" s="8">
        <v>0</v>
      </c>
      <c r="J524" s="8">
        <v>0</v>
      </c>
      <c r="K524" s="8">
        <v>835</v>
      </c>
      <c r="L524" s="8">
        <v>0</v>
      </c>
      <c r="M524" s="8">
        <v>0</v>
      </c>
      <c r="N524" s="24">
        <f t="shared" si="109"/>
        <v>0</v>
      </c>
      <c r="O524" s="24">
        <v>0</v>
      </c>
      <c r="P524" s="454">
        <f t="shared" si="95"/>
        <v>0</v>
      </c>
      <c r="Q524" s="292">
        <f t="shared" si="107"/>
        <v>2.3930661953061856E-05</v>
      </c>
      <c r="R524" s="293">
        <f t="shared" si="108"/>
        <v>0</v>
      </c>
    </row>
    <row r="525" spans="1:18" ht="14.25" customHeight="1">
      <c r="A525" s="23"/>
      <c r="B525" s="23" t="s">
        <v>485</v>
      </c>
      <c r="C525" s="29" t="s">
        <v>486</v>
      </c>
      <c r="D525" s="8"/>
      <c r="E525" s="8"/>
      <c r="F525" s="8"/>
      <c r="G525" s="8"/>
      <c r="H525" s="8">
        <v>1854</v>
      </c>
      <c r="I525" s="8">
        <v>0</v>
      </c>
      <c r="J525" s="8">
        <v>0</v>
      </c>
      <c r="K525" s="8">
        <v>220</v>
      </c>
      <c r="L525" s="8">
        <v>0</v>
      </c>
      <c r="M525" s="8">
        <v>0</v>
      </c>
      <c r="N525" s="24">
        <f t="shared" si="109"/>
        <v>0</v>
      </c>
      <c r="O525" s="24">
        <v>0</v>
      </c>
      <c r="P525" s="454">
        <f t="shared" si="95"/>
        <v>0</v>
      </c>
      <c r="Q525" s="292">
        <f t="shared" si="107"/>
        <v>6.3050845864354586E-06</v>
      </c>
      <c r="R525" s="293">
        <f t="shared" si="108"/>
        <v>0</v>
      </c>
    </row>
    <row r="526" spans="1:18" ht="14.25" customHeight="1">
      <c r="A526" s="23"/>
      <c r="B526" s="23" t="s">
        <v>487</v>
      </c>
      <c r="C526" s="29" t="s">
        <v>584</v>
      </c>
      <c r="D526" s="8"/>
      <c r="E526" s="8"/>
      <c r="F526" s="8"/>
      <c r="G526" s="8"/>
      <c r="H526" s="8"/>
      <c r="I526" s="8"/>
      <c r="J526" s="8"/>
      <c r="K526" s="8">
        <v>2820</v>
      </c>
      <c r="L526" s="8">
        <v>0</v>
      </c>
      <c r="M526" s="8">
        <v>0</v>
      </c>
      <c r="N526" s="24">
        <f>L526</f>
        <v>0</v>
      </c>
      <c r="O526" s="24">
        <v>0</v>
      </c>
      <c r="P526" s="454">
        <f t="shared" si="95"/>
        <v>0</v>
      </c>
      <c r="Q526" s="292">
        <f t="shared" si="107"/>
        <v>8.081972060794543E-05</v>
      </c>
      <c r="R526" s="293">
        <f t="shared" si="108"/>
        <v>0</v>
      </c>
    </row>
    <row r="527" spans="1:18" ht="14.25" customHeight="1">
      <c r="A527" s="23"/>
      <c r="B527" s="23" t="s">
        <v>491</v>
      </c>
      <c r="C527" s="29" t="s">
        <v>586</v>
      </c>
      <c r="D527" s="8"/>
      <c r="E527" s="8">
        <v>0</v>
      </c>
      <c r="F527" s="8">
        <v>300</v>
      </c>
      <c r="G527" s="8">
        <v>0</v>
      </c>
      <c r="H527" s="8">
        <v>5560</v>
      </c>
      <c r="I527" s="8">
        <v>0</v>
      </c>
      <c r="J527" s="8">
        <v>0</v>
      </c>
      <c r="K527" s="8">
        <v>2280</v>
      </c>
      <c r="L527" s="8">
        <v>0</v>
      </c>
      <c r="M527" s="8">
        <v>0</v>
      </c>
      <c r="N527" s="24">
        <f t="shared" si="109"/>
        <v>0</v>
      </c>
      <c r="O527" s="24">
        <v>0</v>
      </c>
      <c r="P527" s="454">
        <f t="shared" si="95"/>
        <v>0</v>
      </c>
      <c r="Q527" s="292">
        <f t="shared" si="107"/>
        <v>6.534360389578566E-05</v>
      </c>
      <c r="R527" s="293">
        <f t="shared" si="108"/>
        <v>0</v>
      </c>
    </row>
    <row r="528" spans="1:18" ht="14.25" customHeight="1">
      <c r="A528" s="23"/>
      <c r="B528" s="23" t="s">
        <v>493</v>
      </c>
      <c r="C528" s="29" t="s">
        <v>494</v>
      </c>
      <c r="D528" s="8"/>
      <c r="E528" s="8"/>
      <c r="F528" s="8"/>
      <c r="G528" s="8"/>
      <c r="H528" s="8">
        <v>1000</v>
      </c>
      <c r="I528" s="8">
        <v>0</v>
      </c>
      <c r="J528" s="8">
        <v>0</v>
      </c>
      <c r="K528" s="8">
        <v>1000</v>
      </c>
      <c r="L528" s="8">
        <v>0</v>
      </c>
      <c r="M528" s="8">
        <v>0</v>
      </c>
      <c r="N528" s="24">
        <f t="shared" si="109"/>
        <v>0</v>
      </c>
      <c r="O528" s="24">
        <v>0</v>
      </c>
      <c r="P528" s="454">
        <f t="shared" si="95"/>
        <v>0</v>
      </c>
      <c r="Q528" s="292">
        <f t="shared" si="107"/>
        <v>2.865947539288845E-05</v>
      </c>
      <c r="R528" s="293">
        <f t="shared" si="108"/>
        <v>0</v>
      </c>
    </row>
    <row r="529" spans="1:18" ht="15.75" customHeight="1">
      <c r="A529" s="23"/>
      <c r="B529" s="23" t="s">
        <v>497</v>
      </c>
      <c r="C529" s="29" t="s">
        <v>498</v>
      </c>
      <c r="D529" s="8"/>
      <c r="E529" s="8">
        <v>515</v>
      </c>
      <c r="F529" s="8">
        <v>0</v>
      </c>
      <c r="G529" s="8">
        <v>149</v>
      </c>
      <c r="H529" s="8">
        <v>1827</v>
      </c>
      <c r="I529" s="8">
        <v>0</v>
      </c>
      <c r="J529" s="8">
        <v>0</v>
      </c>
      <c r="K529" s="8">
        <v>1100</v>
      </c>
      <c r="L529" s="8">
        <v>0</v>
      </c>
      <c r="M529" s="8">
        <v>0</v>
      </c>
      <c r="N529" s="24">
        <f t="shared" si="109"/>
        <v>0</v>
      </c>
      <c r="O529" s="24">
        <v>0</v>
      </c>
      <c r="P529" s="454">
        <f t="shared" si="95"/>
        <v>0</v>
      </c>
      <c r="Q529" s="292">
        <f t="shared" si="107"/>
        <v>3.15254229321773E-05</v>
      </c>
      <c r="R529" s="293">
        <f t="shared" si="108"/>
        <v>0</v>
      </c>
    </row>
    <row r="530" spans="1:18" ht="23.25" customHeight="1">
      <c r="A530" s="26" t="s">
        <v>831</v>
      </c>
      <c r="B530" s="26"/>
      <c r="C530" s="4" t="s">
        <v>832</v>
      </c>
      <c r="D530" s="8"/>
      <c r="E530" s="8"/>
      <c r="F530" s="8"/>
      <c r="G530" s="8"/>
      <c r="H530" s="8"/>
      <c r="I530" s="8"/>
      <c r="J530" s="8"/>
      <c r="K530" s="7">
        <f>SUM(K531:K532)</f>
        <v>2400</v>
      </c>
      <c r="L530" s="7">
        <f>L532</f>
        <v>2200</v>
      </c>
      <c r="M530" s="7">
        <f>M532</f>
        <v>0</v>
      </c>
      <c r="N530" s="19">
        <f>N532</f>
        <v>2200</v>
      </c>
      <c r="O530" s="24">
        <f>O532</f>
        <v>0</v>
      </c>
      <c r="P530" s="454">
        <f t="shared" si="95"/>
        <v>0.9166666666666666</v>
      </c>
      <c r="Q530" s="292">
        <f t="shared" si="107"/>
        <v>6.878274094293227E-05</v>
      </c>
      <c r="R530" s="293">
        <f t="shared" si="108"/>
        <v>6.708817557487858E-05</v>
      </c>
    </row>
    <row r="531" spans="1:18" s="113" customFormat="1" ht="15.75" customHeight="1">
      <c r="A531" s="34"/>
      <c r="B531" s="34" t="s">
        <v>284</v>
      </c>
      <c r="C531" s="29" t="s">
        <v>1012</v>
      </c>
      <c r="D531" s="20"/>
      <c r="E531" s="20"/>
      <c r="F531" s="20"/>
      <c r="G531" s="20"/>
      <c r="H531" s="20"/>
      <c r="I531" s="20"/>
      <c r="J531" s="20"/>
      <c r="K531" s="20">
        <v>1100</v>
      </c>
      <c r="L531" s="20">
        <v>0</v>
      </c>
      <c r="M531" s="20">
        <v>0</v>
      </c>
      <c r="N531" s="21">
        <v>0</v>
      </c>
      <c r="O531" s="21">
        <v>0</v>
      </c>
      <c r="P531" s="454">
        <f t="shared" si="95"/>
        <v>0</v>
      </c>
      <c r="Q531" s="292">
        <f t="shared" si="107"/>
        <v>3.15254229321773E-05</v>
      </c>
      <c r="R531" s="293">
        <f t="shared" si="108"/>
        <v>0</v>
      </c>
    </row>
    <row r="532" spans="1:18" ht="15.75" customHeight="1">
      <c r="A532" s="23"/>
      <c r="B532" s="23" t="s">
        <v>491</v>
      </c>
      <c r="C532" s="29" t="s">
        <v>586</v>
      </c>
      <c r="D532" s="8"/>
      <c r="E532" s="8"/>
      <c r="F532" s="8"/>
      <c r="G532" s="8"/>
      <c r="H532" s="8"/>
      <c r="I532" s="8"/>
      <c r="J532" s="8"/>
      <c r="K532" s="8">
        <v>1300</v>
      </c>
      <c r="L532" s="8">
        <v>2200</v>
      </c>
      <c r="M532" s="8">
        <v>0</v>
      </c>
      <c r="N532" s="24">
        <f>L532</f>
        <v>2200</v>
      </c>
      <c r="O532" s="24">
        <v>0</v>
      </c>
      <c r="P532" s="454">
        <f t="shared" si="95"/>
        <v>1.6923076923076923</v>
      </c>
      <c r="Q532" s="292">
        <f aca="true" t="shared" si="110" ref="Q532:Q537">K532/$K$662</f>
        <v>3.725731801075498E-05</v>
      </c>
      <c r="R532" s="293">
        <f t="shared" si="108"/>
        <v>6.708817557487858E-05</v>
      </c>
    </row>
    <row r="533" spans="1:18" ht="18.75" customHeight="1">
      <c r="A533" s="26" t="s">
        <v>598</v>
      </c>
      <c r="B533" s="26"/>
      <c r="C533" s="4" t="s">
        <v>556</v>
      </c>
      <c r="D533" s="7"/>
      <c r="E533" s="7" t="e">
        <f>#REF!+#REF!</f>
        <v>#REF!</v>
      </c>
      <c r="F533" s="7" t="e">
        <f>#REF!+#REF!</f>
        <v>#REF!</v>
      </c>
      <c r="G533" s="7" t="e">
        <f>#REF!+#REF!</f>
        <v>#REF!</v>
      </c>
      <c r="H533" s="7" t="e">
        <f>#REF!+H536</f>
        <v>#REF!</v>
      </c>
      <c r="I533" s="7" t="e">
        <f>#REF!+I536</f>
        <v>#REF!</v>
      </c>
      <c r="J533" s="7" t="e">
        <f>#REF!+J536</f>
        <v>#REF!</v>
      </c>
      <c r="K533" s="7">
        <f>K534+K535+K536</f>
        <v>5969</v>
      </c>
      <c r="L533" s="7">
        <f>L534+L535+L536</f>
        <v>500</v>
      </c>
      <c r="M533" s="7">
        <f>M534+M535+M536</f>
        <v>0</v>
      </c>
      <c r="N533" s="7">
        <f>N534+N535+N536</f>
        <v>500</v>
      </c>
      <c r="O533" s="7">
        <f>O534+O535+O536</f>
        <v>0</v>
      </c>
      <c r="P533" s="454">
        <f aca="true" t="shared" si="111" ref="P533:P595">L533/K533</f>
        <v>0.08376612497905847</v>
      </c>
      <c r="Q533" s="292">
        <f t="shared" si="110"/>
        <v>0.00017106840862015117</v>
      </c>
      <c r="R533" s="293">
        <f>L533/$L$662</f>
        <v>1.5247312630654222E-05</v>
      </c>
    </row>
    <row r="534" spans="1:18" ht="14.25" customHeight="1">
      <c r="A534" s="26"/>
      <c r="B534" s="34" t="s">
        <v>485</v>
      </c>
      <c r="C534" s="29" t="s">
        <v>512</v>
      </c>
      <c r="D534" s="20"/>
      <c r="E534" s="20"/>
      <c r="F534" s="20"/>
      <c r="G534" s="20"/>
      <c r="H534" s="20"/>
      <c r="I534" s="20"/>
      <c r="J534" s="20"/>
      <c r="K534" s="20">
        <v>0</v>
      </c>
      <c r="L534" s="20">
        <v>0</v>
      </c>
      <c r="M534" s="20">
        <v>0</v>
      </c>
      <c r="N534" s="20">
        <f>L534</f>
        <v>0</v>
      </c>
      <c r="O534" s="20">
        <v>0</v>
      </c>
      <c r="P534" s="454">
        <v>0</v>
      </c>
      <c r="Q534" s="292">
        <f t="shared" si="110"/>
        <v>0</v>
      </c>
      <c r="R534" s="293">
        <f>L534/$L$662</f>
        <v>0</v>
      </c>
    </row>
    <row r="535" spans="1:18" ht="14.25" customHeight="1">
      <c r="A535" s="26"/>
      <c r="B535" s="34" t="s">
        <v>497</v>
      </c>
      <c r="C535" s="29" t="s">
        <v>791</v>
      </c>
      <c r="D535" s="20"/>
      <c r="E535" s="20"/>
      <c r="F535" s="20"/>
      <c r="G535" s="20"/>
      <c r="H535" s="20"/>
      <c r="I535" s="20"/>
      <c r="J535" s="20"/>
      <c r="K535" s="20">
        <v>5469</v>
      </c>
      <c r="L535" s="20">
        <v>0</v>
      </c>
      <c r="M535" s="20">
        <v>0</v>
      </c>
      <c r="N535" s="20">
        <f>L535</f>
        <v>0</v>
      </c>
      <c r="O535" s="20">
        <v>0</v>
      </c>
      <c r="P535" s="454">
        <f t="shared" si="111"/>
        <v>0</v>
      </c>
      <c r="Q535" s="292">
        <f t="shared" si="110"/>
        <v>0.00015673867092370693</v>
      </c>
      <c r="R535" s="293">
        <f>L535/$L$662</f>
        <v>0</v>
      </c>
    </row>
    <row r="536" spans="1:76" ht="14.25" customHeight="1">
      <c r="A536" s="23"/>
      <c r="B536" s="23" t="s">
        <v>491</v>
      </c>
      <c r="C536" s="29" t="s">
        <v>492</v>
      </c>
      <c r="D536" s="8"/>
      <c r="E536" s="8">
        <v>6515</v>
      </c>
      <c r="F536" s="8">
        <v>3292</v>
      </c>
      <c r="G536" s="8">
        <v>0</v>
      </c>
      <c r="H536" s="8">
        <v>2885</v>
      </c>
      <c r="I536" s="8">
        <v>0</v>
      </c>
      <c r="J536" s="8">
        <v>0</v>
      </c>
      <c r="K536" s="8">
        <v>500</v>
      </c>
      <c r="L536" s="8">
        <v>500</v>
      </c>
      <c r="M536" s="8">
        <v>0</v>
      </c>
      <c r="N536" s="24">
        <f>L536</f>
        <v>500</v>
      </c>
      <c r="O536" s="24">
        <v>0</v>
      </c>
      <c r="P536" s="454">
        <f t="shared" si="111"/>
        <v>1</v>
      </c>
      <c r="Q536" s="292">
        <f t="shared" si="110"/>
        <v>1.4329737696444225E-05</v>
      </c>
      <c r="R536" s="293">
        <f>L536/$L$662</f>
        <v>1.5247312630654222E-05</v>
      </c>
      <c r="S536" s="459"/>
      <c r="T536" s="459"/>
      <c r="U536" s="459"/>
      <c r="V536" s="459"/>
      <c r="W536" s="459"/>
      <c r="X536" s="459"/>
      <c r="Y536" s="459"/>
      <c r="Z536" s="459"/>
      <c r="AA536" s="459"/>
      <c r="AB536" s="459"/>
      <c r="AC536" s="459"/>
      <c r="AD536" s="459"/>
      <c r="AE536" s="459"/>
      <c r="AF536" s="459"/>
      <c r="AG536" s="459"/>
      <c r="AH536" s="459"/>
      <c r="AI536" s="459"/>
      <c r="AJ536" s="459"/>
      <c r="AK536" s="459"/>
      <c r="AL536" s="459"/>
      <c r="AM536" s="459"/>
      <c r="AN536" s="459"/>
      <c r="AO536" s="459"/>
      <c r="AP536" s="459"/>
      <c r="AQ536" s="459"/>
      <c r="AR536" s="459"/>
      <c r="AS536" s="459"/>
      <c r="AT536" s="459"/>
      <c r="AU536" s="459"/>
      <c r="AV536" s="459"/>
      <c r="AW536" s="459"/>
      <c r="AX536" s="459"/>
      <c r="AY536" s="459"/>
      <c r="AZ536" s="459"/>
      <c r="BA536" s="459"/>
      <c r="BB536" s="459"/>
      <c r="BC536" s="459"/>
      <c r="BD536" s="459"/>
      <c r="BE536" s="459"/>
      <c r="BF536" s="459"/>
      <c r="BG536" s="459"/>
      <c r="BH536" s="459"/>
      <c r="BI536" s="459"/>
      <c r="BJ536" s="459"/>
      <c r="BK536" s="459"/>
      <c r="BL536" s="459"/>
      <c r="BM536" s="459"/>
      <c r="BN536" s="459"/>
      <c r="BO536" s="459"/>
      <c r="BP536" s="459"/>
      <c r="BQ536" s="459"/>
      <c r="BR536" s="459"/>
      <c r="BS536" s="459"/>
      <c r="BT536" s="459"/>
      <c r="BU536" s="459"/>
      <c r="BV536" s="459"/>
      <c r="BW536" s="459"/>
      <c r="BX536" s="459"/>
    </row>
    <row r="537" spans="1:76" s="442" customFormat="1" ht="24.75" customHeight="1">
      <c r="A537" s="450" t="s">
        <v>700</v>
      </c>
      <c r="B537" s="450"/>
      <c r="C537" s="449" t="s">
        <v>597</v>
      </c>
      <c r="D537" s="444"/>
      <c r="E537" s="444"/>
      <c r="F537" s="444"/>
      <c r="G537" s="444"/>
      <c r="H537" s="444"/>
      <c r="I537" s="444"/>
      <c r="J537" s="444"/>
      <c r="K537" s="444">
        <f>K538+K547</f>
        <v>682709</v>
      </c>
      <c r="L537" s="444">
        <f>L538+L547</f>
        <v>749854</v>
      </c>
      <c r="M537" s="444">
        <f>M538+M547</f>
        <v>0</v>
      </c>
      <c r="N537" s="444">
        <f>N538+N547</f>
        <v>749854</v>
      </c>
      <c r="O537" s="444">
        <f>O538+O547</f>
        <v>0</v>
      </c>
      <c r="P537" s="440">
        <f t="shared" si="111"/>
        <v>1.0983508346894504</v>
      </c>
      <c r="Q537" s="440">
        <f t="shared" si="110"/>
        <v>0.01956608178600348</v>
      </c>
      <c r="R537" s="441">
        <f>L537/$L$662</f>
        <v>0.022866516730693183</v>
      </c>
      <c r="S537" s="459"/>
      <c r="T537" s="459"/>
      <c r="U537" s="459"/>
      <c r="V537" s="459"/>
      <c r="W537" s="459"/>
      <c r="X537" s="459"/>
      <c r="Y537" s="459"/>
      <c r="Z537" s="459"/>
      <c r="AA537" s="459"/>
      <c r="AB537" s="459"/>
      <c r="AC537" s="459"/>
      <c r="AD537" s="459"/>
      <c r="AE537" s="459"/>
      <c r="AF537" s="459"/>
      <c r="AG537" s="459"/>
      <c r="AH537" s="459"/>
      <c r="AI537" s="459"/>
      <c r="AJ537" s="459"/>
      <c r="AK537" s="459"/>
      <c r="AL537" s="459"/>
      <c r="AM537" s="459"/>
      <c r="AN537" s="459"/>
      <c r="AO537" s="459"/>
      <c r="AP537" s="459"/>
      <c r="AQ537" s="459"/>
      <c r="AR537" s="459"/>
      <c r="AS537" s="459"/>
      <c r="AT537" s="459"/>
      <c r="AU537" s="459"/>
      <c r="AV537" s="459"/>
      <c r="AW537" s="459"/>
      <c r="AX537" s="459"/>
      <c r="AY537" s="459"/>
      <c r="AZ537" s="459"/>
      <c r="BA537" s="459"/>
      <c r="BB537" s="459"/>
      <c r="BC537" s="459"/>
      <c r="BD537" s="459"/>
      <c r="BE537" s="459"/>
      <c r="BF537" s="459"/>
      <c r="BG537" s="459"/>
      <c r="BH537" s="459"/>
      <c r="BI537" s="459"/>
      <c r="BJ537" s="459"/>
      <c r="BK537" s="459"/>
      <c r="BL537" s="459"/>
      <c r="BM537" s="459"/>
      <c r="BN537" s="459"/>
      <c r="BO537" s="459"/>
      <c r="BP537" s="459"/>
      <c r="BQ537" s="459"/>
      <c r="BR537" s="459"/>
      <c r="BS537" s="459"/>
      <c r="BT537" s="459"/>
      <c r="BU537" s="459"/>
      <c r="BV537" s="459"/>
      <c r="BW537" s="459"/>
      <c r="BX537" s="459"/>
    </row>
    <row r="538" spans="1:18" ht="13.5" customHeight="1">
      <c r="A538" s="26" t="s">
        <v>715</v>
      </c>
      <c r="B538" s="26"/>
      <c r="C538" s="4" t="s">
        <v>144</v>
      </c>
      <c r="D538" s="7"/>
      <c r="E538" s="7"/>
      <c r="F538" s="7"/>
      <c r="G538" s="7"/>
      <c r="H538" s="7"/>
      <c r="I538" s="7"/>
      <c r="J538" s="7"/>
      <c r="K538" s="7">
        <f>SUM(K539:K546)</f>
        <v>20491</v>
      </c>
      <c r="L538" s="7">
        <f>L539+L540+L541+L542+L543+L544+L545+L546</f>
        <v>20491</v>
      </c>
      <c r="M538" s="7">
        <f>M539+M540+M541+M542+M543+M544+M545+M546</f>
        <v>0</v>
      </c>
      <c r="N538" s="7">
        <f>N539+N540+N541+N542+N543+N544+N545+N546</f>
        <v>20491</v>
      </c>
      <c r="O538" s="7">
        <f>O539+O540+O541+O542+O543+O544+O545+O546</f>
        <v>0</v>
      </c>
      <c r="P538" s="454">
        <f t="shared" si="111"/>
        <v>1</v>
      </c>
      <c r="Q538" s="292">
        <f aca="true" t="shared" si="112" ref="Q538:Q546">K538/$K$662</f>
        <v>0.0005872613102756772</v>
      </c>
      <c r="R538" s="293">
        <f aca="true" t="shared" si="113" ref="R538:R546">L538/$L$662</f>
        <v>0.0006248653662294713</v>
      </c>
    </row>
    <row r="539" spans="1:18" ht="25.5" customHeight="1">
      <c r="A539" s="23"/>
      <c r="B539" s="23" t="s">
        <v>475</v>
      </c>
      <c r="C539" s="29" t="s">
        <v>476</v>
      </c>
      <c r="D539" s="8">
        <v>16515</v>
      </c>
      <c r="E539" s="8">
        <v>15028</v>
      </c>
      <c r="F539" s="8">
        <v>0</v>
      </c>
      <c r="G539" s="8">
        <v>0</v>
      </c>
      <c r="H539" s="8">
        <v>9550</v>
      </c>
      <c r="I539" s="8">
        <v>0</v>
      </c>
      <c r="J539" s="8">
        <v>0</v>
      </c>
      <c r="K539" s="8">
        <v>15000</v>
      </c>
      <c r="L539" s="8">
        <v>15000</v>
      </c>
      <c r="M539" s="8">
        <v>0</v>
      </c>
      <c r="N539" s="24">
        <f aca="true" t="shared" si="114" ref="N539:N546">L539</f>
        <v>15000</v>
      </c>
      <c r="O539" s="24">
        <v>0</v>
      </c>
      <c r="P539" s="454">
        <f t="shared" si="111"/>
        <v>1</v>
      </c>
      <c r="Q539" s="292">
        <f t="shared" si="112"/>
        <v>0.00042989213089332675</v>
      </c>
      <c r="R539" s="293">
        <f t="shared" si="113"/>
        <v>0.00045741937891962667</v>
      </c>
    </row>
    <row r="540" spans="1:18" ht="13.5" customHeight="1">
      <c r="A540" s="23"/>
      <c r="B540" s="23" t="s">
        <v>479</v>
      </c>
      <c r="C540" s="29" t="s">
        <v>480</v>
      </c>
      <c r="D540" s="8"/>
      <c r="E540" s="8"/>
      <c r="F540" s="8"/>
      <c r="G540" s="8"/>
      <c r="H540" s="8">
        <v>765</v>
      </c>
      <c r="I540" s="8">
        <v>0</v>
      </c>
      <c r="J540" s="8">
        <v>0</v>
      </c>
      <c r="K540" s="8">
        <v>1122</v>
      </c>
      <c r="L540" s="8">
        <v>1275</v>
      </c>
      <c r="M540" s="8">
        <v>0</v>
      </c>
      <c r="N540" s="24">
        <f t="shared" si="114"/>
        <v>1275</v>
      </c>
      <c r="O540" s="24">
        <v>0</v>
      </c>
      <c r="P540" s="454">
        <f t="shared" si="111"/>
        <v>1.1363636363636365</v>
      </c>
      <c r="Q540" s="292">
        <f t="shared" si="112"/>
        <v>3.215593139082084E-05</v>
      </c>
      <c r="R540" s="293">
        <f t="shared" si="113"/>
        <v>3.8880647208168264E-05</v>
      </c>
    </row>
    <row r="541" spans="1:18" ht="14.25" customHeight="1">
      <c r="A541" s="23"/>
      <c r="B541" s="36" t="s">
        <v>508</v>
      </c>
      <c r="C541" s="29" t="s">
        <v>716</v>
      </c>
      <c r="D541" s="8">
        <v>3358</v>
      </c>
      <c r="E541" s="8">
        <v>2709</v>
      </c>
      <c r="F541" s="8">
        <v>0</v>
      </c>
      <c r="G541" s="8">
        <v>0</v>
      </c>
      <c r="H541" s="8">
        <v>1844</v>
      </c>
      <c r="I541" s="8">
        <v>0</v>
      </c>
      <c r="J541" s="8">
        <v>0</v>
      </c>
      <c r="K541" s="8">
        <v>2778</v>
      </c>
      <c r="L541" s="8">
        <v>2804</v>
      </c>
      <c r="M541" s="8">
        <v>0</v>
      </c>
      <c r="N541" s="24">
        <f t="shared" si="114"/>
        <v>2804</v>
      </c>
      <c r="O541" s="24">
        <v>0</v>
      </c>
      <c r="P541" s="454">
        <f t="shared" si="111"/>
        <v>1.0093592512598992</v>
      </c>
      <c r="Q541" s="292">
        <f t="shared" si="112"/>
        <v>7.961602264144412E-05</v>
      </c>
      <c r="R541" s="293">
        <f t="shared" si="113"/>
        <v>8.550692923270888E-05</v>
      </c>
    </row>
    <row r="542" spans="1:18" ht="13.5" customHeight="1">
      <c r="A542" s="23"/>
      <c r="B542" s="36" t="s">
        <v>483</v>
      </c>
      <c r="C542" s="29" t="s">
        <v>484</v>
      </c>
      <c r="D542" s="8"/>
      <c r="E542" s="8">
        <v>371</v>
      </c>
      <c r="F542" s="8">
        <v>0</v>
      </c>
      <c r="G542" s="8">
        <v>0</v>
      </c>
      <c r="H542" s="8">
        <v>253</v>
      </c>
      <c r="I542" s="8">
        <v>0</v>
      </c>
      <c r="J542" s="8">
        <v>0</v>
      </c>
      <c r="K542" s="8">
        <v>395</v>
      </c>
      <c r="L542" s="8">
        <v>399</v>
      </c>
      <c r="M542" s="8">
        <v>0</v>
      </c>
      <c r="N542" s="24">
        <f t="shared" si="114"/>
        <v>399</v>
      </c>
      <c r="O542" s="24">
        <v>0</v>
      </c>
      <c r="P542" s="454">
        <f t="shared" si="111"/>
        <v>1.010126582278481</v>
      </c>
      <c r="Q542" s="292">
        <f t="shared" si="112"/>
        <v>1.1320492780190937E-05</v>
      </c>
      <c r="R542" s="293">
        <f t="shared" si="113"/>
        <v>1.2167355479262068E-05</v>
      </c>
    </row>
    <row r="543" spans="1:18" ht="13.5" customHeight="1">
      <c r="A543" s="23"/>
      <c r="B543" s="23" t="s">
        <v>485</v>
      </c>
      <c r="C543" s="29" t="s">
        <v>512</v>
      </c>
      <c r="D543" s="8">
        <v>0</v>
      </c>
      <c r="E543" s="8">
        <v>0</v>
      </c>
      <c r="F543" s="8"/>
      <c r="G543" s="8"/>
      <c r="H543" s="7"/>
      <c r="I543" s="7"/>
      <c r="J543" s="7"/>
      <c r="K543" s="20">
        <v>0</v>
      </c>
      <c r="L543" s="20">
        <v>0</v>
      </c>
      <c r="M543" s="20">
        <v>0</v>
      </c>
      <c r="N543" s="24">
        <f t="shared" si="114"/>
        <v>0</v>
      </c>
      <c r="O543" s="24">
        <v>0</v>
      </c>
      <c r="P543" s="454">
        <v>0</v>
      </c>
      <c r="Q543" s="292">
        <f t="shared" si="112"/>
        <v>0</v>
      </c>
      <c r="R543" s="293">
        <f t="shared" si="113"/>
        <v>0</v>
      </c>
    </row>
    <row r="544" spans="1:18" ht="14.25" customHeight="1">
      <c r="A544" s="23"/>
      <c r="B544" s="23" t="s">
        <v>491</v>
      </c>
      <c r="C544" s="29" t="s">
        <v>586</v>
      </c>
      <c r="D544" s="8"/>
      <c r="E544" s="8"/>
      <c r="F544" s="8"/>
      <c r="G544" s="8"/>
      <c r="H544" s="8">
        <v>29725</v>
      </c>
      <c r="I544" s="8">
        <v>0</v>
      </c>
      <c r="J544" s="8">
        <v>0</v>
      </c>
      <c r="K544" s="8">
        <v>751</v>
      </c>
      <c r="L544" s="8">
        <v>561</v>
      </c>
      <c r="M544" s="8">
        <v>0</v>
      </c>
      <c r="N544" s="24">
        <f t="shared" si="114"/>
        <v>561</v>
      </c>
      <c r="O544" s="24">
        <v>0</v>
      </c>
      <c r="P544" s="454">
        <f t="shared" si="111"/>
        <v>0.7470039946737683</v>
      </c>
      <c r="Q544" s="292">
        <f t="shared" si="112"/>
        <v>2.1523266020059226E-05</v>
      </c>
      <c r="R544" s="293">
        <f t="shared" si="113"/>
        <v>1.7107484771594036E-05</v>
      </c>
    </row>
    <row r="545" spans="1:18" ht="14.25" customHeight="1">
      <c r="A545" s="23"/>
      <c r="B545" s="23" t="s">
        <v>495</v>
      </c>
      <c r="C545" s="29" t="s">
        <v>496</v>
      </c>
      <c r="D545" s="8"/>
      <c r="E545" s="8"/>
      <c r="F545" s="8"/>
      <c r="G545" s="8"/>
      <c r="H545" s="8"/>
      <c r="I545" s="8"/>
      <c r="J545" s="8"/>
      <c r="K545" s="8">
        <v>0</v>
      </c>
      <c r="L545" s="8">
        <v>0</v>
      </c>
      <c r="M545" s="8">
        <v>0</v>
      </c>
      <c r="N545" s="24">
        <f>L545</f>
        <v>0</v>
      </c>
      <c r="O545" s="24">
        <v>0</v>
      </c>
      <c r="P545" s="454">
        <v>0</v>
      </c>
      <c r="Q545" s="292">
        <f t="shared" si="112"/>
        <v>0</v>
      </c>
      <c r="R545" s="293">
        <f t="shared" si="113"/>
        <v>0</v>
      </c>
    </row>
    <row r="546" spans="1:18" ht="12.75" customHeight="1">
      <c r="A546" s="23"/>
      <c r="B546" s="23" t="s">
        <v>497</v>
      </c>
      <c r="C546" s="29" t="s">
        <v>498</v>
      </c>
      <c r="D546" s="8"/>
      <c r="E546" s="8"/>
      <c r="F546" s="8"/>
      <c r="G546" s="8"/>
      <c r="H546" s="8"/>
      <c r="I546" s="8"/>
      <c r="J546" s="8"/>
      <c r="K546" s="8">
        <v>445</v>
      </c>
      <c r="L546" s="8">
        <v>452</v>
      </c>
      <c r="M546" s="8">
        <v>0</v>
      </c>
      <c r="N546" s="24">
        <f t="shared" si="114"/>
        <v>452</v>
      </c>
      <c r="O546" s="24">
        <v>0</v>
      </c>
      <c r="P546" s="454">
        <f t="shared" si="111"/>
        <v>1.0157303370786517</v>
      </c>
      <c r="Q546" s="292">
        <f t="shared" si="112"/>
        <v>1.275346654983536E-05</v>
      </c>
      <c r="R546" s="293">
        <f t="shared" si="113"/>
        <v>1.3783570618111417E-05</v>
      </c>
    </row>
    <row r="547" spans="1:18" ht="15.75" customHeight="1">
      <c r="A547" s="26" t="s">
        <v>719</v>
      </c>
      <c r="B547" s="23"/>
      <c r="C547" s="4" t="s">
        <v>720</v>
      </c>
      <c r="D547" s="7">
        <f>D549+D550+D551+D553</f>
        <v>982000</v>
      </c>
      <c r="E547" s="7" t="e">
        <f>E549+E550+E551+E552+E553+E554+E556+E557+#REF!+E558+E560+E561+E563</f>
        <v>#REF!</v>
      </c>
      <c r="F547" s="7" t="e">
        <f>F549+F550+F551+F552+F553+F554+F556+F557+#REF!+F558+F560+F561+F563</f>
        <v>#REF!</v>
      </c>
      <c r="G547" s="7" t="e">
        <f>G549+G550+G551+G552+G553+G554+G556+G557+#REF!+G558+G560+G561+G563</f>
        <v>#REF!</v>
      </c>
      <c r="H547" s="7">
        <f>H549+H550+H551+H552+H556+H557+H558+H560+H561+H562+H563</f>
        <v>592705</v>
      </c>
      <c r="I547" s="7">
        <f>I549+I550+I551+I552+I556+I557+I558+I560+I561+I562+I563</f>
        <v>0</v>
      </c>
      <c r="J547" s="7">
        <f>J549+J550+J551+J552+J556+J557+J558+J560+J561+J562+J563</f>
        <v>0</v>
      </c>
      <c r="K547" s="7">
        <f>SUM(K548:K564)</f>
        <v>662218</v>
      </c>
      <c r="L547" s="7">
        <f>SUM(L548:L564)</f>
        <v>729363</v>
      </c>
      <c r="M547" s="7">
        <f>SUM(M548:M564)</f>
        <v>0</v>
      </c>
      <c r="N547" s="7">
        <f>SUM(N548:N564)</f>
        <v>729363</v>
      </c>
      <c r="O547" s="7">
        <f>SUM(O548:O564)</f>
        <v>0</v>
      </c>
      <c r="P547" s="454">
        <f t="shared" si="111"/>
        <v>1.1013941028483067</v>
      </c>
      <c r="Q547" s="292">
        <f>K547/$K$662</f>
        <v>0.018978820475727805</v>
      </c>
      <c r="R547" s="293">
        <f>L547/$L$662</f>
        <v>0.02224165136446371</v>
      </c>
    </row>
    <row r="548" spans="1:18" ht="15.75" customHeight="1">
      <c r="A548" s="26"/>
      <c r="B548" s="23" t="s">
        <v>461</v>
      </c>
      <c r="C548" s="29" t="s">
        <v>792</v>
      </c>
      <c r="D548" s="7"/>
      <c r="E548" s="7"/>
      <c r="F548" s="7"/>
      <c r="G548" s="7"/>
      <c r="H548" s="7"/>
      <c r="I548" s="7"/>
      <c r="J548" s="7"/>
      <c r="K548" s="20">
        <v>248</v>
      </c>
      <c r="L548" s="20">
        <v>250</v>
      </c>
      <c r="M548" s="7"/>
      <c r="N548" s="20">
        <f>L548-M548</f>
        <v>250</v>
      </c>
      <c r="O548" s="7"/>
      <c r="P548" s="454">
        <f t="shared" si="111"/>
        <v>1.0080645161290323</v>
      </c>
      <c r="Q548" s="292">
        <f>K548/$K$662</f>
        <v>7.107549897436336E-06</v>
      </c>
      <c r="R548" s="293">
        <f>L548/$L$662</f>
        <v>7.623656315327111E-06</v>
      </c>
    </row>
    <row r="549" spans="1:18" ht="22.5" customHeight="1">
      <c r="A549" s="23"/>
      <c r="B549" s="23" t="s">
        <v>475</v>
      </c>
      <c r="C549" s="29" t="s">
        <v>476</v>
      </c>
      <c r="D549" s="8">
        <v>606420</v>
      </c>
      <c r="E549" s="8">
        <v>652585</v>
      </c>
      <c r="F549" s="8">
        <v>0</v>
      </c>
      <c r="G549" s="8">
        <v>0</v>
      </c>
      <c r="H549" s="8">
        <v>370235</v>
      </c>
      <c r="I549" s="8">
        <v>0</v>
      </c>
      <c r="J549" s="8">
        <v>0</v>
      </c>
      <c r="K549" s="8">
        <v>427975</v>
      </c>
      <c r="L549" s="8">
        <v>454219</v>
      </c>
      <c r="M549" s="8">
        <v>0</v>
      </c>
      <c r="N549" s="24">
        <f>L549-M549</f>
        <v>454219</v>
      </c>
      <c r="O549" s="24">
        <v>0</v>
      </c>
      <c r="P549" s="454">
        <f t="shared" si="111"/>
        <v>1.0613213388632514</v>
      </c>
      <c r="Q549" s="292">
        <f>K549/$K$662</f>
        <v>0.012265538981271433</v>
      </c>
      <c r="R549" s="293">
        <f>L549/$L$662</f>
        <v>0.01385123819156626</v>
      </c>
    </row>
    <row r="550" spans="1:18" ht="15" customHeight="1">
      <c r="A550" s="23"/>
      <c r="B550" s="23" t="s">
        <v>479</v>
      </c>
      <c r="C550" s="29" t="s">
        <v>480</v>
      </c>
      <c r="D550" s="8">
        <v>48267</v>
      </c>
      <c r="E550" s="8">
        <v>48566</v>
      </c>
      <c r="F550" s="8">
        <v>0</v>
      </c>
      <c r="G550" s="8">
        <v>0</v>
      </c>
      <c r="H550" s="20">
        <v>28767</v>
      </c>
      <c r="I550" s="20">
        <v>0</v>
      </c>
      <c r="J550" s="20">
        <v>0</v>
      </c>
      <c r="K550" s="8">
        <v>36166</v>
      </c>
      <c r="L550" s="8">
        <v>42982</v>
      </c>
      <c r="M550" s="8">
        <v>0</v>
      </c>
      <c r="N550" s="24">
        <f aca="true" t="shared" si="115" ref="N550:N562">L550-M550</f>
        <v>42982</v>
      </c>
      <c r="O550" s="24">
        <v>0</v>
      </c>
      <c r="P550" s="454">
        <f t="shared" si="111"/>
        <v>1.1884643034894653</v>
      </c>
      <c r="Q550" s="292">
        <f aca="true" t="shared" si="116" ref="Q550:Q566">K550/$K$662</f>
        <v>0.0010364985870592036</v>
      </c>
      <c r="R550" s="293">
        <f aca="true" t="shared" si="117" ref="R550:R555">L550/$L$662</f>
        <v>0.0013107199829815596</v>
      </c>
    </row>
    <row r="551" spans="1:18" ht="15" customHeight="1">
      <c r="A551" s="23"/>
      <c r="B551" s="36" t="s">
        <v>532</v>
      </c>
      <c r="C551" s="29" t="s">
        <v>554</v>
      </c>
      <c r="D551" s="8">
        <v>131863</v>
      </c>
      <c r="E551" s="8">
        <v>124716</v>
      </c>
      <c r="F551" s="8">
        <v>0</v>
      </c>
      <c r="G551" s="8">
        <v>0</v>
      </c>
      <c r="H551" s="8">
        <v>68092</v>
      </c>
      <c r="I551" s="8">
        <v>0</v>
      </c>
      <c r="J551" s="8">
        <v>0</v>
      </c>
      <c r="K551" s="8">
        <v>79927</v>
      </c>
      <c r="L551" s="8">
        <v>85670</v>
      </c>
      <c r="M551" s="8">
        <v>0</v>
      </c>
      <c r="N551" s="24">
        <f t="shared" si="115"/>
        <v>85670</v>
      </c>
      <c r="O551" s="24">
        <v>0</v>
      </c>
      <c r="P551" s="454">
        <f t="shared" si="111"/>
        <v>1.0718530659226544</v>
      </c>
      <c r="Q551" s="292">
        <f t="shared" si="116"/>
        <v>0.002290665889727395</v>
      </c>
      <c r="R551" s="293">
        <f t="shared" si="117"/>
        <v>0.0026124745461362942</v>
      </c>
    </row>
    <row r="552" spans="1:18" ht="15" customHeight="1">
      <c r="A552" s="23"/>
      <c r="B552" s="36" t="s">
        <v>483</v>
      </c>
      <c r="C552" s="29" t="s">
        <v>484</v>
      </c>
      <c r="D552" s="8"/>
      <c r="E552" s="8">
        <v>16239</v>
      </c>
      <c r="F552" s="8">
        <v>0</v>
      </c>
      <c r="G552" s="8">
        <v>0</v>
      </c>
      <c r="H552" s="8">
        <v>11100</v>
      </c>
      <c r="I552" s="8">
        <v>0</v>
      </c>
      <c r="J552" s="8">
        <v>0</v>
      </c>
      <c r="K552" s="8">
        <v>14028</v>
      </c>
      <c r="L552" s="8">
        <v>12181</v>
      </c>
      <c r="M552" s="8">
        <v>0</v>
      </c>
      <c r="N552" s="24">
        <f t="shared" si="115"/>
        <v>12181</v>
      </c>
      <c r="O552" s="24">
        <v>0</v>
      </c>
      <c r="P552" s="454">
        <f t="shared" si="111"/>
        <v>0.8683347590533219</v>
      </c>
      <c r="Q552" s="292">
        <f t="shared" si="116"/>
        <v>0.00040203512081143916</v>
      </c>
      <c r="R552" s="293">
        <f t="shared" si="117"/>
        <v>0.00037145503030799816</v>
      </c>
    </row>
    <row r="553" spans="1:18" ht="18.75" customHeight="1" hidden="1">
      <c r="A553" s="23"/>
      <c r="B553" s="23" t="s">
        <v>497</v>
      </c>
      <c r="C553" s="29" t="s">
        <v>498</v>
      </c>
      <c r="D553" s="8">
        <v>195450</v>
      </c>
      <c r="E553" s="8">
        <v>21802</v>
      </c>
      <c r="F553" s="8">
        <v>0</v>
      </c>
      <c r="G553" s="8">
        <v>0</v>
      </c>
      <c r="H553" s="7"/>
      <c r="I553" s="7"/>
      <c r="J553" s="7"/>
      <c r="K553" s="8">
        <v>0</v>
      </c>
      <c r="L553" s="8"/>
      <c r="M553" s="8">
        <v>0</v>
      </c>
      <c r="N553" s="24">
        <f t="shared" si="115"/>
        <v>0</v>
      </c>
      <c r="O553" s="24">
        <v>0</v>
      </c>
      <c r="P553" s="454" t="e">
        <f t="shared" si="111"/>
        <v>#DIV/0!</v>
      </c>
      <c r="Q553" s="292">
        <f t="shared" si="116"/>
        <v>0</v>
      </c>
      <c r="R553" s="293">
        <f t="shared" si="117"/>
        <v>0</v>
      </c>
    </row>
    <row r="554" spans="1:18" ht="42" customHeight="1" hidden="1">
      <c r="A554" s="23"/>
      <c r="B554" s="23" t="s">
        <v>473</v>
      </c>
      <c r="C554" s="29" t="s">
        <v>542</v>
      </c>
      <c r="D554" s="8"/>
      <c r="E554" s="8">
        <v>5700</v>
      </c>
      <c r="F554" s="8">
        <v>0</v>
      </c>
      <c r="G554" s="8">
        <v>0</v>
      </c>
      <c r="H554" s="7"/>
      <c r="I554" s="7"/>
      <c r="J554" s="7"/>
      <c r="K554" s="8">
        <v>0</v>
      </c>
      <c r="L554" s="8"/>
      <c r="M554" s="8">
        <v>0</v>
      </c>
      <c r="N554" s="24">
        <f t="shared" si="115"/>
        <v>0</v>
      </c>
      <c r="O554" s="24">
        <v>0</v>
      </c>
      <c r="P554" s="454" t="e">
        <f t="shared" si="111"/>
        <v>#DIV/0!</v>
      </c>
      <c r="Q554" s="292">
        <f t="shared" si="116"/>
        <v>0</v>
      </c>
      <c r="R554" s="293">
        <f t="shared" si="117"/>
        <v>0</v>
      </c>
    </row>
    <row r="555" spans="1:18" ht="14.25" customHeight="1">
      <c r="A555" s="23"/>
      <c r="B555" s="23" t="s">
        <v>256</v>
      </c>
      <c r="C555" s="29" t="s">
        <v>257</v>
      </c>
      <c r="D555" s="8"/>
      <c r="E555" s="8"/>
      <c r="F555" s="8"/>
      <c r="G555" s="8"/>
      <c r="H555" s="7"/>
      <c r="I555" s="7"/>
      <c r="J555" s="7"/>
      <c r="K555" s="8">
        <v>6400</v>
      </c>
      <c r="L555" s="8">
        <v>26400</v>
      </c>
      <c r="M555" s="8">
        <v>0</v>
      </c>
      <c r="N555" s="24">
        <f t="shared" si="115"/>
        <v>26400</v>
      </c>
      <c r="O555" s="24">
        <v>0</v>
      </c>
      <c r="P555" s="454">
        <f t="shared" si="111"/>
        <v>4.125</v>
      </c>
      <c r="Q555" s="292">
        <f t="shared" si="116"/>
        <v>0.00018342064251448606</v>
      </c>
      <c r="R555" s="293">
        <f t="shared" si="117"/>
        <v>0.000805058106898543</v>
      </c>
    </row>
    <row r="556" spans="1:18" ht="14.25" customHeight="1">
      <c r="A556" s="23"/>
      <c r="B556" s="23" t="s">
        <v>485</v>
      </c>
      <c r="C556" s="29" t="s">
        <v>631</v>
      </c>
      <c r="D556" s="8"/>
      <c r="E556" s="8">
        <v>20202</v>
      </c>
      <c r="F556" s="8">
        <v>0</v>
      </c>
      <c r="G556" s="8">
        <v>0</v>
      </c>
      <c r="H556" s="8">
        <v>25567</v>
      </c>
      <c r="I556" s="8">
        <v>0</v>
      </c>
      <c r="J556" s="8">
        <v>0</v>
      </c>
      <c r="K556" s="8">
        <v>14318</v>
      </c>
      <c r="L556" s="8">
        <v>17000</v>
      </c>
      <c r="M556" s="8">
        <v>0</v>
      </c>
      <c r="N556" s="24">
        <f t="shared" si="115"/>
        <v>17000</v>
      </c>
      <c r="O556" s="24">
        <v>0</v>
      </c>
      <c r="P556" s="454">
        <f t="shared" si="111"/>
        <v>1.1873166643385948</v>
      </c>
      <c r="Q556" s="292">
        <f t="shared" si="116"/>
        <v>0.0004103463686753768</v>
      </c>
      <c r="R556" s="293">
        <f aca="true" t="shared" si="118" ref="R556:R566">L556/$L$662</f>
        <v>0.0005184086294422436</v>
      </c>
    </row>
    <row r="557" spans="1:18" ht="13.5" customHeight="1">
      <c r="A557" s="23"/>
      <c r="B557" s="23" t="s">
        <v>487</v>
      </c>
      <c r="C557" s="29" t="s">
        <v>584</v>
      </c>
      <c r="D557" s="8"/>
      <c r="E557" s="8">
        <v>31800</v>
      </c>
      <c r="F557" s="8">
        <v>0</v>
      </c>
      <c r="G557" s="8">
        <v>0</v>
      </c>
      <c r="H557" s="8">
        <v>34876</v>
      </c>
      <c r="I557" s="8">
        <v>0</v>
      </c>
      <c r="J557" s="8">
        <v>0</v>
      </c>
      <c r="K557" s="8">
        <v>30180</v>
      </c>
      <c r="L557" s="8">
        <v>31026</v>
      </c>
      <c r="M557" s="8">
        <v>0</v>
      </c>
      <c r="N557" s="24">
        <f t="shared" si="115"/>
        <v>31026</v>
      </c>
      <c r="O557" s="24">
        <v>0</v>
      </c>
      <c r="P557" s="454">
        <f t="shared" si="111"/>
        <v>1.0280318091451293</v>
      </c>
      <c r="Q557" s="292">
        <f t="shared" si="116"/>
        <v>0.0008649429673573734</v>
      </c>
      <c r="R557" s="293">
        <f t="shared" si="118"/>
        <v>0.0009461262433573558</v>
      </c>
    </row>
    <row r="558" spans="1:18" ht="15" customHeight="1">
      <c r="A558" s="23"/>
      <c r="B558" s="23" t="s">
        <v>491</v>
      </c>
      <c r="C558" s="29" t="s">
        <v>586</v>
      </c>
      <c r="D558" s="8"/>
      <c r="E558" s="8">
        <v>17850</v>
      </c>
      <c r="F558" s="8">
        <v>0</v>
      </c>
      <c r="G558" s="8">
        <v>0</v>
      </c>
      <c r="H558" s="8">
        <v>33475</v>
      </c>
      <c r="I558" s="8">
        <v>0</v>
      </c>
      <c r="J558" s="8">
        <v>0</v>
      </c>
      <c r="K558" s="8">
        <v>22103</v>
      </c>
      <c r="L558" s="8">
        <v>26830</v>
      </c>
      <c r="M558" s="8">
        <v>0</v>
      </c>
      <c r="N558" s="24">
        <f t="shared" si="115"/>
        <v>26830</v>
      </c>
      <c r="O558" s="24">
        <v>0</v>
      </c>
      <c r="P558" s="454">
        <f t="shared" si="111"/>
        <v>1.2138623716237615</v>
      </c>
      <c r="Q558" s="292">
        <f t="shared" si="116"/>
        <v>0.0006334603846090134</v>
      </c>
      <c r="R558" s="293">
        <f t="shared" si="118"/>
        <v>0.0008181707957609055</v>
      </c>
    </row>
    <row r="559" spans="1:18" ht="15" customHeight="1">
      <c r="A559" s="23"/>
      <c r="B559" s="23" t="s">
        <v>782</v>
      </c>
      <c r="C559" s="29" t="s">
        <v>586</v>
      </c>
      <c r="D559" s="8"/>
      <c r="E559" s="8"/>
      <c r="F559" s="8"/>
      <c r="G559" s="8"/>
      <c r="H559" s="8"/>
      <c r="I559" s="8"/>
      <c r="J559" s="8"/>
      <c r="K559" s="8">
        <v>14030</v>
      </c>
      <c r="L559" s="8">
        <v>0</v>
      </c>
      <c r="M559" s="8">
        <v>0</v>
      </c>
      <c r="N559" s="24">
        <v>0</v>
      </c>
      <c r="O559" s="24">
        <v>0</v>
      </c>
      <c r="P559" s="454">
        <f t="shared" si="111"/>
        <v>0</v>
      </c>
      <c r="Q559" s="292">
        <f t="shared" si="116"/>
        <v>0.00040209243976222495</v>
      </c>
      <c r="R559" s="293">
        <f t="shared" si="118"/>
        <v>0</v>
      </c>
    </row>
    <row r="560" spans="1:18" ht="14.25" customHeight="1">
      <c r="A560" s="23"/>
      <c r="B560" s="23" t="s">
        <v>493</v>
      </c>
      <c r="C560" s="29" t="s">
        <v>494</v>
      </c>
      <c r="D560" s="8"/>
      <c r="E560" s="8">
        <v>1400</v>
      </c>
      <c r="F560" s="8">
        <v>0</v>
      </c>
      <c r="G560" s="8">
        <v>0</v>
      </c>
      <c r="H560" s="8">
        <v>2000</v>
      </c>
      <c r="I560" s="8">
        <v>0</v>
      </c>
      <c r="J560" s="8">
        <v>0</v>
      </c>
      <c r="K560" s="8">
        <v>1250</v>
      </c>
      <c r="L560" s="8">
        <v>2000</v>
      </c>
      <c r="M560" s="8">
        <v>0</v>
      </c>
      <c r="N560" s="24">
        <f t="shared" si="115"/>
        <v>2000</v>
      </c>
      <c r="O560" s="24">
        <v>0</v>
      </c>
      <c r="P560" s="454">
        <f t="shared" si="111"/>
        <v>1.6</v>
      </c>
      <c r="Q560" s="292">
        <f t="shared" si="116"/>
        <v>3.582434424111056E-05</v>
      </c>
      <c r="R560" s="293">
        <f t="shared" si="118"/>
        <v>6.098925052261689E-05</v>
      </c>
    </row>
    <row r="561" spans="1:18" ht="14.25" customHeight="1">
      <c r="A561" s="23"/>
      <c r="B561" s="23" t="s">
        <v>495</v>
      </c>
      <c r="C561" s="29" t="s">
        <v>496</v>
      </c>
      <c r="D561" s="8"/>
      <c r="E561" s="8">
        <v>5890</v>
      </c>
      <c r="F561" s="8">
        <v>0</v>
      </c>
      <c r="G561" s="8">
        <v>0</v>
      </c>
      <c r="H561" s="8">
        <v>3200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24">
        <f t="shared" si="115"/>
        <v>0</v>
      </c>
      <c r="O561" s="24">
        <v>0</v>
      </c>
      <c r="P561" s="454">
        <v>0</v>
      </c>
      <c r="Q561" s="292">
        <f t="shared" si="116"/>
        <v>0</v>
      </c>
      <c r="R561" s="293">
        <f t="shared" si="118"/>
        <v>0</v>
      </c>
    </row>
    <row r="562" spans="1:18" ht="14.25" customHeight="1">
      <c r="A562" s="23"/>
      <c r="B562" s="23" t="s">
        <v>497</v>
      </c>
      <c r="C562" s="29" t="s">
        <v>498</v>
      </c>
      <c r="D562" s="8"/>
      <c r="E562" s="8"/>
      <c r="F562" s="8"/>
      <c r="G562" s="8"/>
      <c r="H562" s="8">
        <v>12853</v>
      </c>
      <c r="I562" s="8">
        <v>0</v>
      </c>
      <c r="J562" s="8">
        <v>0</v>
      </c>
      <c r="K562" s="8">
        <v>15593</v>
      </c>
      <c r="L562" s="8">
        <v>15805</v>
      </c>
      <c r="M562" s="8">
        <v>0</v>
      </c>
      <c r="N562" s="24">
        <f t="shared" si="115"/>
        <v>15805</v>
      </c>
      <c r="O562" s="24">
        <v>0</v>
      </c>
      <c r="P562" s="454">
        <f t="shared" si="111"/>
        <v>1.013595844289104</v>
      </c>
      <c r="Q562" s="292">
        <f t="shared" si="116"/>
        <v>0.0004468871998013096</v>
      </c>
      <c r="R562" s="293">
        <f t="shared" si="118"/>
        <v>0.00048196755225497995</v>
      </c>
    </row>
    <row r="563" spans="1:18" ht="14.25" customHeight="1">
      <c r="A563" s="23"/>
      <c r="B563" s="23" t="s">
        <v>513</v>
      </c>
      <c r="C563" s="29" t="s">
        <v>514</v>
      </c>
      <c r="D563" s="8"/>
      <c r="E563" s="8">
        <v>3250</v>
      </c>
      <c r="F563" s="8">
        <v>0</v>
      </c>
      <c r="G563" s="8">
        <v>0</v>
      </c>
      <c r="H563" s="8">
        <v>2540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24">
        <v>0</v>
      </c>
      <c r="O563" s="24">
        <v>0</v>
      </c>
      <c r="P563" s="454">
        <v>0</v>
      </c>
      <c r="Q563" s="292">
        <f t="shared" si="116"/>
        <v>0</v>
      </c>
      <c r="R563" s="293">
        <f t="shared" si="118"/>
        <v>0</v>
      </c>
    </row>
    <row r="564" spans="1:61" ht="15" customHeight="1">
      <c r="A564" s="23"/>
      <c r="B564" s="23" t="s">
        <v>517</v>
      </c>
      <c r="C564" s="29" t="s">
        <v>376</v>
      </c>
      <c r="D564" s="8"/>
      <c r="E564" s="8"/>
      <c r="F564" s="8"/>
      <c r="G564" s="8"/>
      <c r="H564" s="8"/>
      <c r="I564" s="8"/>
      <c r="J564" s="8"/>
      <c r="K564" s="8">
        <v>0</v>
      </c>
      <c r="L564" s="8">
        <v>15000</v>
      </c>
      <c r="M564" s="8">
        <v>0</v>
      </c>
      <c r="N564" s="24">
        <f>L564</f>
        <v>15000</v>
      </c>
      <c r="O564" s="24">
        <v>0</v>
      </c>
      <c r="P564" s="454">
        <v>0</v>
      </c>
      <c r="Q564" s="292">
        <f t="shared" si="116"/>
        <v>0</v>
      </c>
      <c r="R564" s="293">
        <f t="shared" si="118"/>
        <v>0.00045741937891962667</v>
      </c>
      <c r="S564" s="459"/>
      <c r="T564" s="459"/>
      <c r="U564" s="459"/>
      <c r="V564" s="459"/>
      <c r="W564" s="459"/>
      <c r="X564" s="459"/>
      <c r="Y564" s="459"/>
      <c r="Z564" s="459"/>
      <c r="AA564" s="459"/>
      <c r="AB564" s="459"/>
      <c r="AC564" s="459"/>
      <c r="AD564" s="459"/>
      <c r="AE564" s="459"/>
      <c r="AF564" s="459"/>
      <c r="AG564" s="459"/>
      <c r="AH564" s="459"/>
      <c r="AI564" s="459"/>
      <c r="AJ564" s="459"/>
      <c r="AK564" s="459"/>
      <c r="AL564" s="459"/>
      <c r="AM564" s="459"/>
      <c r="AN564" s="459"/>
      <c r="AO564" s="459"/>
      <c r="AP564" s="459"/>
      <c r="AQ564" s="459"/>
      <c r="AR564" s="459"/>
      <c r="AS564" s="459"/>
      <c r="AT564" s="459"/>
      <c r="AU564" s="459"/>
      <c r="AV564" s="459"/>
      <c r="AW564" s="459"/>
      <c r="AX564" s="459"/>
      <c r="AY564" s="459"/>
      <c r="AZ564" s="459"/>
      <c r="BA564" s="459"/>
      <c r="BB564" s="459"/>
      <c r="BC564" s="459"/>
      <c r="BD564" s="459"/>
      <c r="BE564" s="459"/>
      <c r="BF564" s="459"/>
      <c r="BG564" s="459"/>
      <c r="BH564" s="459"/>
      <c r="BI564" s="459"/>
    </row>
    <row r="565" spans="1:61" s="451" customFormat="1" ht="24.75" customHeight="1">
      <c r="A565" s="450" t="s">
        <v>722</v>
      </c>
      <c r="B565" s="450"/>
      <c r="C565" s="452" t="s">
        <v>723</v>
      </c>
      <c r="D565" s="444" t="e">
        <f>D566+D584+D599+D615+D634</f>
        <v>#REF!</v>
      </c>
      <c r="E565" s="444" t="e">
        <f>E566+E584+E599+E615+E634+E621+E642</f>
        <v>#REF!</v>
      </c>
      <c r="F565" s="444" t="e">
        <f>F566+F584+F599+F634+F621+F642</f>
        <v>#REF!</v>
      </c>
      <c r="G565" s="444" t="e">
        <f>G566+G584+G599+G634+G621+G642</f>
        <v>#REF!</v>
      </c>
      <c r="H565" s="444" t="e">
        <f>H566+#REF!+H584+H599+H634+H642+H626</f>
        <v>#REF!</v>
      </c>
      <c r="I565" s="444" t="e">
        <f>I566+#REF!+I584+I599+I634+I642+I626</f>
        <v>#REF!</v>
      </c>
      <c r="J565" s="444" t="e">
        <f>J566+#REF!+J584+J599+J634+J642+J626</f>
        <v>#REF!</v>
      </c>
      <c r="K565" s="444">
        <f>K566+K584+K599+K634+K642+K626</f>
        <v>3369472</v>
      </c>
      <c r="L565" s="444">
        <f>L566+L584+L599+L634+L642+L626</f>
        <v>3474765</v>
      </c>
      <c r="M565" s="444">
        <f>M566+M584+M599+M634+M642+M626</f>
        <v>0</v>
      </c>
      <c r="N565" s="444">
        <f>N566+N584+N599+N634+N642+N626</f>
        <v>3473265</v>
      </c>
      <c r="O565" s="444">
        <f>O566+O584+O599+O634+O642+O626</f>
        <v>1500</v>
      </c>
      <c r="P565" s="440">
        <f t="shared" si="111"/>
        <v>1.0312491096527883</v>
      </c>
      <c r="Q565" s="440">
        <f t="shared" si="116"/>
        <v>0.09656729987102664</v>
      </c>
      <c r="R565" s="441">
        <f t="shared" si="118"/>
        <v>0.10596165654611044</v>
      </c>
      <c r="S565" s="458"/>
      <c r="T565" s="458"/>
      <c r="U565" s="458"/>
      <c r="V565" s="458"/>
      <c r="W565" s="458"/>
      <c r="X565" s="458"/>
      <c r="Y565" s="458"/>
      <c r="Z565" s="458"/>
      <c r="AA565" s="458"/>
      <c r="AB565" s="458"/>
      <c r="AC565" s="458"/>
      <c r="AD565" s="458"/>
      <c r="AE565" s="458"/>
      <c r="AF565" s="458"/>
      <c r="AG565" s="458"/>
      <c r="AH565" s="458"/>
      <c r="AI565" s="458"/>
      <c r="AJ565" s="458"/>
      <c r="AK565" s="458"/>
      <c r="AL565" s="458"/>
      <c r="AM565" s="458"/>
      <c r="AN565" s="458"/>
      <c r="AO565" s="458"/>
      <c r="AP565" s="458"/>
      <c r="AQ565" s="458"/>
      <c r="AR565" s="458"/>
      <c r="AS565" s="458"/>
      <c r="AT565" s="458"/>
      <c r="AU565" s="458"/>
      <c r="AV565" s="458"/>
      <c r="AW565" s="458"/>
      <c r="AX565" s="458"/>
      <c r="AY565" s="458"/>
      <c r="AZ565" s="458"/>
      <c r="BA565" s="458"/>
      <c r="BB565" s="458"/>
      <c r="BC565" s="458"/>
      <c r="BD565" s="458"/>
      <c r="BE565" s="458"/>
      <c r="BF565" s="458"/>
      <c r="BG565" s="458"/>
      <c r="BH565" s="458"/>
      <c r="BI565" s="458"/>
    </row>
    <row r="566" spans="1:61" ht="24" customHeight="1">
      <c r="A566" s="26" t="s">
        <v>724</v>
      </c>
      <c r="B566" s="23"/>
      <c r="C566" s="4" t="s">
        <v>725</v>
      </c>
      <c r="D566" s="7">
        <f>D568+D569+D570+D581</f>
        <v>2045066</v>
      </c>
      <c r="E566" s="7" t="e">
        <f>E568+E569+E570+E571+E567+E572+E573+E574+#REF!+E577+E578+#REF!+E580+E582</f>
        <v>#REF!</v>
      </c>
      <c r="F566" s="7" t="e">
        <f>F568+F569+F570+F571+F567+F572+F573+F574+#REF!+F577+F578+#REF!+F580+F582</f>
        <v>#REF!</v>
      </c>
      <c r="G566" s="7" t="e">
        <f>G568+G569+G570+G571+G567+G572+G573+G574+#REF!+G577+G578+#REF!+G580+G582</f>
        <v>#REF!</v>
      </c>
      <c r="H566" s="7" t="e">
        <f>H568+H569+H570+H571+H572+H573+H574+#REF!+H577+H578+#REF!+H580+H581+#REF!</f>
        <v>#REF!</v>
      </c>
      <c r="I566" s="7" t="e">
        <f>I568+I569+I570+I571+I572+I573+I574+#REF!+I577+I578+#REF!+I580+I581+#REF!</f>
        <v>#REF!</v>
      </c>
      <c r="J566" s="7" t="e">
        <f>J568+J569+J570+J571+J572+J573+J574+#REF!+J577+J578+#REF!+J580+J581+#REF!</f>
        <v>#REF!</v>
      </c>
      <c r="K566" s="7">
        <f>SUM(K567:K583)</f>
        <v>1316968</v>
      </c>
      <c r="L566" s="7">
        <f>SUM(L567:L583)</f>
        <v>1110425</v>
      </c>
      <c r="M566" s="7">
        <f>SUM(M567:M583)</f>
        <v>0</v>
      </c>
      <c r="N566" s="7">
        <f>SUM(N567:N583)</f>
        <v>1110425</v>
      </c>
      <c r="O566" s="7">
        <f>SUM(O567:O583)</f>
        <v>0</v>
      </c>
      <c r="P566" s="454">
        <f t="shared" si="111"/>
        <v>0.8431677914725338</v>
      </c>
      <c r="Q566" s="292">
        <f t="shared" si="116"/>
        <v>0.037743611989221514</v>
      </c>
      <c r="R566" s="293">
        <f t="shared" si="118"/>
        <v>0.03386199425578843</v>
      </c>
      <c r="S566" s="459"/>
      <c r="T566" s="459"/>
      <c r="U566" s="459"/>
      <c r="V566" s="459"/>
      <c r="W566" s="459"/>
      <c r="X566" s="459"/>
      <c r="Y566" s="459"/>
      <c r="Z566" s="459"/>
      <c r="AA566" s="459"/>
      <c r="AB566" s="459"/>
      <c r="AC566" s="459"/>
      <c r="AD566" s="459"/>
      <c r="AE566" s="459"/>
      <c r="AF566" s="459"/>
      <c r="AG566" s="459"/>
      <c r="AH566" s="459"/>
      <c r="AI566" s="459"/>
      <c r="AJ566" s="459"/>
      <c r="AK566" s="459"/>
      <c r="AL566" s="459"/>
      <c r="AM566" s="459"/>
      <c r="AN566" s="459"/>
      <c r="AO566" s="459"/>
      <c r="AP566" s="459"/>
      <c r="AQ566" s="459"/>
      <c r="AR566" s="459"/>
      <c r="AS566" s="459"/>
      <c r="AT566" s="459"/>
      <c r="AU566" s="459"/>
      <c r="AV566" s="459"/>
      <c r="AW566" s="459"/>
      <c r="AX566" s="459"/>
      <c r="AY566" s="459"/>
      <c r="AZ566" s="459"/>
      <c r="BA566" s="459"/>
      <c r="BB566" s="459"/>
      <c r="BC566" s="459"/>
      <c r="BD566" s="459"/>
      <c r="BE566" s="459"/>
      <c r="BF566" s="459"/>
      <c r="BG566" s="459"/>
      <c r="BH566" s="459"/>
      <c r="BI566" s="459"/>
    </row>
    <row r="567" spans="1:18" ht="18.75" customHeight="1">
      <c r="A567" s="23"/>
      <c r="B567" s="36" t="s">
        <v>461</v>
      </c>
      <c r="C567" s="29" t="s">
        <v>634</v>
      </c>
      <c r="D567" s="8"/>
      <c r="E567" s="8">
        <v>32821</v>
      </c>
      <c r="F567" s="8">
        <v>0</v>
      </c>
      <c r="G567" s="8">
        <v>0</v>
      </c>
      <c r="H567" s="7"/>
      <c r="I567" s="7"/>
      <c r="J567" s="7"/>
      <c r="K567" s="8">
        <v>0</v>
      </c>
      <c r="L567" s="8">
        <v>0</v>
      </c>
      <c r="M567" s="8">
        <v>0</v>
      </c>
      <c r="N567" s="24">
        <f>L567</f>
        <v>0</v>
      </c>
      <c r="O567" s="24">
        <v>0</v>
      </c>
      <c r="P567" s="454">
        <v>0</v>
      </c>
      <c r="Q567" s="292">
        <f aca="true" t="shared" si="119" ref="Q567:Q583">K567/$K$662</f>
        <v>0</v>
      </c>
      <c r="R567" s="293">
        <f aca="true" t="shared" si="120" ref="R567:R576">L567/$L$662</f>
        <v>0</v>
      </c>
    </row>
    <row r="568" spans="1:18" ht="29.25" customHeight="1">
      <c r="A568" s="23"/>
      <c r="B568" s="23" t="s">
        <v>475</v>
      </c>
      <c r="C568" s="29" t="s">
        <v>476</v>
      </c>
      <c r="D568" s="8">
        <v>1270889</v>
      </c>
      <c r="E568" s="8">
        <v>1044649</v>
      </c>
      <c r="F568" s="8">
        <v>19143</v>
      </c>
      <c r="G568" s="8">
        <v>45000</v>
      </c>
      <c r="H568" s="8">
        <v>562350</v>
      </c>
      <c r="I568" s="8">
        <v>0</v>
      </c>
      <c r="J568" s="8">
        <v>0</v>
      </c>
      <c r="K568" s="8">
        <v>654687</v>
      </c>
      <c r="L568" s="8">
        <v>658167</v>
      </c>
      <c r="M568" s="8">
        <v>0</v>
      </c>
      <c r="N568" s="24">
        <f>L568</f>
        <v>658167</v>
      </c>
      <c r="O568" s="24">
        <v>0</v>
      </c>
      <c r="P568" s="454">
        <f t="shared" si="111"/>
        <v>1.0053155171860753</v>
      </c>
      <c r="Q568" s="292">
        <f t="shared" si="119"/>
        <v>0.01876298596654396</v>
      </c>
      <c r="R568" s="293">
        <f t="shared" si="120"/>
        <v>0.020070556024359594</v>
      </c>
    </row>
    <row r="569" spans="1:18" ht="15.75" customHeight="1">
      <c r="A569" s="23"/>
      <c r="B569" s="23" t="s">
        <v>479</v>
      </c>
      <c r="C569" s="29" t="s">
        <v>480</v>
      </c>
      <c r="D569" s="8">
        <v>95035</v>
      </c>
      <c r="E569" s="8">
        <v>92025</v>
      </c>
      <c r="F569" s="8">
        <v>0</v>
      </c>
      <c r="G569" s="8">
        <v>0</v>
      </c>
      <c r="H569" s="8">
        <v>46308</v>
      </c>
      <c r="I569" s="8">
        <v>0</v>
      </c>
      <c r="J569" s="8">
        <v>0</v>
      </c>
      <c r="K569" s="8">
        <v>45698</v>
      </c>
      <c r="L569" s="8">
        <v>51540</v>
      </c>
      <c r="M569" s="8">
        <v>0</v>
      </c>
      <c r="N569" s="24">
        <f aca="true" t="shared" si="121" ref="N569:N580">L569</f>
        <v>51540</v>
      </c>
      <c r="O569" s="24">
        <v>0</v>
      </c>
      <c r="P569" s="454">
        <f t="shared" si="111"/>
        <v>1.1278392927480414</v>
      </c>
      <c r="Q569" s="292">
        <f t="shared" si="119"/>
        <v>0.0013096807065042164</v>
      </c>
      <c r="R569" s="293">
        <f t="shared" si="120"/>
        <v>0.0015716929859678373</v>
      </c>
    </row>
    <row r="570" spans="1:18" ht="15" customHeight="1">
      <c r="A570" s="23"/>
      <c r="B570" s="36" t="s">
        <v>508</v>
      </c>
      <c r="C570" s="29" t="s">
        <v>554</v>
      </c>
      <c r="D570" s="8">
        <v>274033</v>
      </c>
      <c r="E570" s="8">
        <v>199495</v>
      </c>
      <c r="F570" s="8">
        <v>2349</v>
      </c>
      <c r="G570" s="8">
        <v>8046</v>
      </c>
      <c r="H570" s="8">
        <v>107000</v>
      </c>
      <c r="I570" s="8">
        <v>0</v>
      </c>
      <c r="J570" s="8">
        <v>0</v>
      </c>
      <c r="K570" s="8">
        <v>120500</v>
      </c>
      <c r="L570" s="8">
        <v>127600</v>
      </c>
      <c r="M570" s="8">
        <v>0</v>
      </c>
      <c r="N570" s="24">
        <f t="shared" si="121"/>
        <v>127600</v>
      </c>
      <c r="O570" s="24">
        <v>0</v>
      </c>
      <c r="P570" s="454">
        <f t="shared" si="111"/>
        <v>1.0589211618257262</v>
      </c>
      <c r="Q570" s="292">
        <f t="shared" si="119"/>
        <v>0.0034534667848430583</v>
      </c>
      <c r="R570" s="293">
        <f t="shared" si="120"/>
        <v>0.0038911141833429573</v>
      </c>
    </row>
    <row r="571" spans="1:18" ht="16.5" customHeight="1">
      <c r="A571" s="23"/>
      <c r="B571" s="36" t="s">
        <v>483</v>
      </c>
      <c r="C571" s="29" t="s">
        <v>484</v>
      </c>
      <c r="D571" s="8"/>
      <c r="E571" s="8">
        <v>27615</v>
      </c>
      <c r="F571" s="8">
        <v>321</v>
      </c>
      <c r="G571" s="8">
        <v>1102</v>
      </c>
      <c r="H571" s="8">
        <v>14660</v>
      </c>
      <c r="I571" s="8">
        <v>0</v>
      </c>
      <c r="J571" s="8">
        <v>0</v>
      </c>
      <c r="K571" s="8">
        <v>17000</v>
      </c>
      <c r="L571" s="8">
        <v>17000</v>
      </c>
      <c r="M571" s="8">
        <v>0</v>
      </c>
      <c r="N571" s="24">
        <f t="shared" si="121"/>
        <v>17000</v>
      </c>
      <c r="O571" s="24">
        <v>0</v>
      </c>
      <c r="P571" s="454">
        <f t="shared" si="111"/>
        <v>1</v>
      </c>
      <c r="Q571" s="292">
        <f t="shared" si="119"/>
        <v>0.0004872110816791036</v>
      </c>
      <c r="R571" s="293">
        <f t="shared" si="120"/>
        <v>0.0005184086294422436</v>
      </c>
    </row>
    <row r="572" spans="1:18" ht="16.5" customHeight="1">
      <c r="A572" s="23"/>
      <c r="B572" s="36" t="s">
        <v>485</v>
      </c>
      <c r="C572" s="29" t="s">
        <v>631</v>
      </c>
      <c r="D572" s="8"/>
      <c r="E572" s="8">
        <v>123652</v>
      </c>
      <c r="F572" s="8">
        <v>12612</v>
      </c>
      <c r="G572" s="8">
        <v>0</v>
      </c>
      <c r="H572" s="8">
        <v>114868</v>
      </c>
      <c r="I572" s="8">
        <v>0</v>
      </c>
      <c r="J572" s="8">
        <v>0</v>
      </c>
      <c r="K572" s="8">
        <v>128252</v>
      </c>
      <c r="L572" s="8">
        <v>94900</v>
      </c>
      <c r="M572" s="8">
        <v>0</v>
      </c>
      <c r="N572" s="24">
        <f t="shared" si="121"/>
        <v>94900</v>
      </c>
      <c r="O572" s="24">
        <v>0</v>
      </c>
      <c r="P572" s="454">
        <f t="shared" si="111"/>
        <v>0.739949474472133</v>
      </c>
      <c r="Q572" s="292">
        <f t="shared" si="119"/>
        <v>0.0036756350380887292</v>
      </c>
      <c r="R572" s="293">
        <f t="shared" si="120"/>
        <v>0.0028939399372981713</v>
      </c>
    </row>
    <row r="573" spans="1:18" ht="15" customHeight="1">
      <c r="A573" s="23"/>
      <c r="B573" s="36" t="s">
        <v>580</v>
      </c>
      <c r="C573" s="29" t="s">
        <v>704</v>
      </c>
      <c r="D573" s="8"/>
      <c r="E573" s="8">
        <v>145078</v>
      </c>
      <c r="F573" s="8">
        <v>0</v>
      </c>
      <c r="G573" s="8">
        <v>20000</v>
      </c>
      <c r="H573" s="8">
        <v>57000</v>
      </c>
      <c r="I573" s="8">
        <v>0</v>
      </c>
      <c r="J573" s="8">
        <v>0</v>
      </c>
      <c r="K573" s="8">
        <v>62000</v>
      </c>
      <c r="L573" s="8">
        <v>65000</v>
      </c>
      <c r="M573" s="8">
        <v>0</v>
      </c>
      <c r="N573" s="24">
        <f t="shared" si="121"/>
        <v>65000</v>
      </c>
      <c r="O573" s="24">
        <v>0</v>
      </c>
      <c r="P573" s="454">
        <f t="shared" si="111"/>
        <v>1.0483870967741935</v>
      </c>
      <c r="Q573" s="292">
        <f t="shared" si="119"/>
        <v>0.001776887474359084</v>
      </c>
      <c r="R573" s="293">
        <f t="shared" si="120"/>
        <v>0.0019821506419850487</v>
      </c>
    </row>
    <row r="574" spans="1:18" ht="14.25" customHeight="1">
      <c r="A574" s="23"/>
      <c r="B574" s="36" t="s">
        <v>487</v>
      </c>
      <c r="C574" s="29" t="s">
        <v>584</v>
      </c>
      <c r="D574" s="8"/>
      <c r="E574" s="8">
        <v>21328</v>
      </c>
      <c r="F574" s="8">
        <v>3000</v>
      </c>
      <c r="G574" s="8">
        <v>0</v>
      </c>
      <c r="H574" s="8">
        <v>17200</v>
      </c>
      <c r="I574" s="8">
        <v>0</v>
      </c>
      <c r="J574" s="8">
        <v>0</v>
      </c>
      <c r="K574" s="8">
        <v>16400</v>
      </c>
      <c r="L574" s="8">
        <v>17500</v>
      </c>
      <c r="M574" s="8">
        <v>0</v>
      </c>
      <c r="N574" s="24">
        <f t="shared" si="121"/>
        <v>17500</v>
      </c>
      <c r="O574" s="24">
        <v>0</v>
      </c>
      <c r="P574" s="454">
        <f t="shared" si="111"/>
        <v>1.0670731707317074</v>
      </c>
      <c r="Q574" s="292">
        <f t="shared" si="119"/>
        <v>0.00047001539644337054</v>
      </c>
      <c r="R574" s="293">
        <f t="shared" si="120"/>
        <v>0.0005336559420728977</v>
      </c>
    </row>
    <row r="575" spans="1:18" ht="15.75" customHeight="1" hidden="1">
      <c r="A575" s="23"/>
      <c r="B575" s="36" t="s">
        <v>489</v>
      </c>
      <c r="C575" s="29" t="s">
        <v>490</v>
      </c>
      <c r="D575" s="8"/>
      <c r="E575" s="8"/>
      <c r="F575" s="8"/>
      <c r="G575" s="8"/>
      <c r="H575" s="8"/>
      <c r="I575" s="8"/>
      <c r="J575" s="8"/>
      <c r="K575" s="8">
        <v>0</v>
      </c>
      <c r="L575" s="8">
        <v>0</v>
      </c>
      <c r="M575" s="8">
        <v>0</v>
      </c>
      <c r="N575" s="24">
        <f t="shared" si="121"/>
        <v>0</v>
      </c>
      <c r="O575" s="24">
        <v>0</v>
      </c>
      <c r="P575" s="454" t="e">
        <f t="shared" si="111"/>
        <v>#DIV/0!</v>
      </c>
      <c r="Q575" s="292">
        <f t="shared" si="119"/>
        <v>0</v>
      </c>
      <c r="R575" s="293">
        <f t="shared" si="120"/>
        <v>0</v>
      </c>
    </row>
    <row r="576" spans="1:18" ht="15.75" customHeight="1">
      <c r="A576" s="23"/>
      <c r="B576" s="36" t="s">
        <v>489</v>
      </c>
      <c r="C576" s="29" t="s">
        <v>585</v>
      </c>
      <c r="D576" s="8"/>
      <c r="E576" s="8"/>
      <c r="F576" s="8"/>
      <c r="G576" s="8"/>
      <c r="H576" s="8"/>
      <c r="I576" s="8"/>
      <c r="J576" s="8"/>
      <c r="K576" s="8">
        <v>75000</v>
      </c>
      <c r="L576" s="8">
        <v>0</v>
      </c>
      <c r="M576" s="8">
        <v>0</v>
      </c>
      <c r="N576" s="24">
        <v>0</v>
      </c>
      <c r="O576" s="24">
        <v>0</v>
      </c>
      <c r="P576" s="454">
        <f t="shared" si="111"/>
        <v>0</v>
      </c>
      <c r="Q576" s="292">
        <f t="shared" si="119"/>
        <v>0.002149460654466634</v>
      </c>
      <c r="R576" s="293">
        <f t="shared" si="120"/>
        <v>0</v>
      </c>
    </row>
    <row r="577" spans="1:18" ht="15" customHeight="1">
      <c r="A577" s="23"/>
      <c r="B577" s="36" t="s">
        <v>491</v>
      </c>
      <c r="C577" s="29" t="s">
        <v>586</v>
      </c>
      <c r="D577" s="8"/>
      <c r="E577" s="8">
        <v>22737</v>
      </c>
      <c r="F577" s="8">
        <v>4000</v>
      </c>
      <c r="G577" s="8">
        <v>0</v>
      </c>
      <c r="H577" s="8">
        <v>27250</v>
      </c>
      <c r="I577" s="8">
        <v>0</v>
      </c>
      <c r="J577" s="8">
        <v>0</v>
      </c>
      <c r="K577" s="8">
        <v>46600</v>
      </c>
      <c r="L577" s="8">
        <v>39200</v>
      </c>
      <c r="M577" s="8">
        <v>0</v>
      </c>
      <c r="N577" s="24">
        <f t="shared" si="121"/>
        <v>39200</v>
      </c>
      <c r="O577" s="24">
        <v>0</v>
      </c>
      <c r="P577" s="454">
        <f t="shared" si="111"/>
        <v>0.8412017167381974</v>
      </c>
      <c r="Q577" s="292">
        <f t="shared" si="119"/>
        <v>0.0013355315533086017</v>
      </c>
      <c r="R577" s="293">
        <f aca="true" t="shared" si="122" ref="R577:R585">L577/$L$662</f>
        <v>0.001195389310243291</v>
      </c>
    </row>
    <row r="578" spans="1:18" ht="14.25" customHeight="1">
      <c r="A578" s="23"/>
      <c r="B578" s="36" t="s">
        <v>493</v>
      </c>
      <c r="C578" s="29" t="s">
        <v>494</v>
      </c>
      <c r="D578" s="8"/>
      <c r="E578" s="8">
        <v>2384</v>
      </c>
      <c r="F578" s="8">
        <v>0</v>
      </c>
      <c r="G578" s="8">
        <v>800</v>
      </c>
      <c r="H578" s="8">
        <v>300</v>
      </c>
      <c r="I578" s="8">
        <v>0</v>
      </c>
      <c r="J578" s="8">
        <v>0</v>
      </c>
      <c r="K578" s="8">
        <v>2500</v>
      </c>
      <c r="L578" s="8">
        <v>3000</v>
      </c>
      <c r="M578" s="8">
        <v>0</v>
      </c>
      <c r="N578" s="24">
        <f t="shared" si="121"/>
        <v>3000</v>
      </c>
      <c r="O578" s="24">
        <v>0</v>
      </c>
      <c r="P578" s="454">
        <f t="shared" si="111"/>
        <v>1.2</v>
      </c>
      <c r="Q578" s="292">
        <f t="shared" si="119"/>
        <v>7.164868848222112E-05</v>
      </c>
      <c r="R578" s="293">
        <f t="shared" si="122"/>
        <v>9.148387578392533E-05</v>
      </c>
    </row>
    <row r="579" spans="1:18" ht="14.25" customHeight="1">
      <c r="A579" s="23"/>
      <c r="B579" s="36" t="s">
        <v>495</v>
      </c>
      <c r="C579" s="29" t="s">
        <v>496</v>
      </c>
      <c r="D579" s="8"/>
      <c r="E579" s="8"/>
      <c r="F579" s="8"/>
      <c r="G579" s="8"/>
      <c r="H579" s="8"/>
      <c r="I579" s="8"/>
      <c r="J579" s="8"/>
      <c r="K579" s="8">
        <v>1000</v>
      </c>
      <c r="L579" s="8">
        <v>1200</v>
      </c>
      <c r="M579" s="8">
        <v>0</v>
      </c>
      <c r="N579" s="24">
        <f t="shared" si="121"/>
        <v>1200</v>
      </c>
      <c r="O579" s="24">
        <v>0</v>
      </c>
      <c r="P579" s="454">
        <f t="shared" si="111"/>
        <v>1.2</v>
      </c>
      <c r="Q579" s="292">
        <f t="shared" si="119"/>
        <v>2.865947539288845E-05</v>
      </c>
      <c r="R579" s="293">
        <f t="shared" si="122"/>
        <v>3.659355031357013E-05</v>
      </c>
    </row>
    <row r="580" spans="1:18" ht="13.5" customHeight="1">
      <c r="A580" s="23"/>
      <c r="B580" s="36" t="s">
        <v>497</v>
      </c>
      <c r="C580" s="29" t="s">
        <v>498</v>
      </c>
      <c r="D580" s="8"/>
      <c r="E580" s="8">
        <v>79227</v>
      </c>
      <c r="F580" s="8">
        <v>0</v>
      </c>
      <c r="G580" s="8">
        <v>0</v>
      </c>
      <c r="H580" s="8">
        <v>31503</v>
      </c>
      <c r="I580" s="8">
        <v>0</v>
      </c>
      <c r="J580" s="8">
        <v>0</v>
      </c>
      <c r="K580" s="8">
        <v>33920</v>
      </c>
      <c r="L580" s="8">
        <v>35318</v>
      </c>
      <c r="M580" s="8">
        <v>0</v>
      </c>
      <c r="N580" s="24">
        <f t="shared" si="121"/>
        <v>35318</v>
      </c>
      <c r="O580" s="24">
        <v>0</v>
      </c>
      <c r="P580" s="454">
        <f t="shared" si="111"/>
        <v>1.0412146226415093</v>
      </c>
      <c r="Q580" s="292">
        <f t="shared" si="119"/>
        <v>0.0009721294053267762</v>
      </c>
      <c r="R580" s="293">
        <f t="shared" si="122"/>
        <v>0.0010770091749788917</v>
      </c>
    </row>
    <row r="581" spans="1:18" ht="17.25" customHeight="1" hidden="1">
      <c r="A581" s="23"/>
      <c r="B581" s="23" t="s">
        <v>515</v>
      </c>
      <c r="C581" s="11" t="s">
        <v>726</v>
      </c>
      <c r="D581" s="8">
        <v>405109</v>
      </c>
      <c r="E581" s="8"/>
      <c r="F581" s="8"/>
      <c r="G581" s="8"/>
      <c r="H581" s="8">
        <v>0</v>
      </c>
      <c r="I581" s="8">
        <v>0</v>
      </c>
      <c r="J581" s="8">
        <v>0</v>
      </c>
      <c r="K581" s="8">
        <v>0</v>
      </c>
      <c r="L581" s="8"/>
      <c r="M581" s="8">
        <v>0</v>
      </c>
      <c r="N581" s="24">
        <f>K581</f>
        <v>0</v>
      </c>
      <c r="O581" s="24">
        <v>0</v>
      </c>
      <c r="P581" s="454" t="e">
        <f t="shared" si="111"/>
        <v>#DIV/0!</v>
      </c>
      <c r="Q581" s="292">
        <f t="shared" si="119"/>
        <v>0</v>
      </c>
      <c r="R581" s="293">
        <f t="shared" si="122"/>
        <v>0</v>
      </c>
    </row>
    <row r="582" spans="1:18" ht="15.75" customHeight="1" hidden="1">
      <c r="A582" s="23"/>
      <c r="B582" s="23" t="s">
        <v>517</v>
      </c>
      <c r="C582" s="11" t="s">
        <v>376</v>
      </c>
      <c r="D582" s="8"/>
      <c r="E582" s="8">
        <v>277</v>
      </c>
      <c r="F582" s="8">
        <v>0</v>
      </c>
      <c r="G582" s="8">
        <v>0</v>
      </c>
      <c r="H582" s="8"/>
      <c r="I582" s="8"/>
      <c r="J582" s="8"/>
      <c r="K582" s="8">
        <v>0</v>
      </c>
      <c r="L582" s="8">
        <v>0</v>
      </c>
      <c r="M582" s="8">
        <v>0</v>
      </c>
      <c r="N582" s="24">
        <f>L582</f>
        <v>0</v>
      </c>
      <c r="O582" s="24">
        <v>0</v>
      </c>
      <c r="P582" s="454" t="e">
        <f t="shared" si="111"/>
        <v>#DIV/0!</v>
      </c>
      <c r="Q582" s="292">
        <f t="shared" si="119"/>
        <v>0</v>
      </c>
      <c r="R582" s="293">
        <f t="shared" si="122"/>
        <v>0</v>
      </c>
    </row>
    <row r="583" spans="1:18" ht="19.5" customHeight="1">
      <c r="A583" s="23"/>
      <c r="B583" s="23" t="s">
        <v>517</v>
      </c>
      <c r="C583" s="11" t="s">
        <v>376</v>
      </c>
      <c r="D583" s="8"/>
      <c r="E583" s="8"/>
      <c r="F583" s="8"/>
      <c r="G583" s="8"/>
      <c r="H583" s="8"/>
      <c r="I583" s="8"/>
      <c r="J583" s="8"/>
      <c r="K583" s="8">
        <v>113411</v>
      </c>
      <c r="L583" s="8">
        <v>0</v>
      </c>
      <c r="M583" s="8">
        <v>0</v>
      </c>
      <c r="N583" s="24">
        <v>0</v>
      </c>
      <c r="O583" s="24">
        <v>0</v>
      </c>
      <c r="P583" s="454">
        <f t="shared" si="111"/>
        <v>0</v>
      </c>
      <c r="Q583" s="292">
        <f t="shared" si="119"/>
        <v>0.003250299763782872</v>
      </c>
      <c r="R583" s="293">
        <f t="shared" si="122"/>
        <v>0</v>
      </c>
    </row>
    <row r="584" spans="1:18" ht="25.5" customHeight="1">
      <c r="A584" s="26" t="s">
        <v>728</v>
      </c>
      <c r="B584" s="23"/>
      <c r="C584" s="4" t="s">
        <v>729</v>
      </c>
      <c r="D584" s="7" t="e">
        <f>D586+D587+D588+#REF!</f>
        <v>#REF!</v>
      </c>
      <c r="E584" s="7" t="e">
        <f>E586+E587+E588+E589+E585+E591+E592+E593+#REF!+E594+E596+#REF!+E597</f>
        <v>#REF!</v>
      </c>
      <c r="F584" s="7" t="e">
        <f>F586+F587+F588+F589+F585+F591+F592+F593+#REF!+F594+F596+#REF!+F597</f>
        <v>#REF!</v>
      </c>
      <c r="G584" s="7" t="e">
        <f>G586+G587+G588+G589+G585+G591+G592+G593+#REF!+G594+G596+#REF!+G597</f>
        <v>#REF!</v>
      </c>
      <c r="H584" s="7" t="e">
        <f>H586+H587+H588+H589+H585+H591+H592+H593+H594+H596+#REF!+H597+H598</f>
        <v>#REF!</v>
      </c>
      <c r="I584" s="7" t="e">
        <f>I586+I587+I588+I589+I585+I591+I592+I593+I594+I596+#REF!+I597+I598</f>
        <v>#REF!</v>
      </c>
      <c r="J584" s="7" t="e">
        <f>J586+J587+J588+J589+J585+J591+J592+J593+J594+J596+#REF!+J597+J598</f>
        <v>#REF!</v>
      </c>
      <c r="K584" s="7">
        <f>SUM(K585:K598)</f>
        <v>414600</v>
      </c>
      <c r="L584" s="7">
        <f>SUM(L585:L598)</f>
        <v>416000</v>
      </c>
      <c r="M584" s="7">
        <f>SUM(M585:M598)</f>
        <v>0</v>
      </c>
      <c r="N584" s="7">
        <f>SUM(N585:N598)</f>
        <v>416000</v>
      </c>
      <c r="O584" s="7">
        <f>SUM(O585:O598)</f>
        <v>0</v>
      </c>
      <c r="P584" s="454">
        <f t="shared" si="111"/>
        <v>1.0033767486734202</v>
      </c>
      <c r="Q584" s="133">
        <f>SUM(Q585:Q598)</f>
        <v>0.01188221849789155</v>
      </c>
      <c r="R584" s="293">
        <f t="shared" si="122"/>
        <v>0.012685764108704313</v>
      </c>
    </row>
    <row r="585" spans="1:18" ht="21" customHeight="1">
      <c r="A585" s="23"/>
      <c r="B585" s="36" t="s">
        <v>461</v>
      </c>
      <c r="C585" s="29" t="s">
        <v>634</v>
      </c>
      <c r="D585" s="8"/>
      <c r="E585" s="8">
        <v>4293</v>
      </c>
      <c r="F585" s="8">
        <v>0</v>
      </c>
      <c r="G585" s="8">
        <v>0</v>
      </c>
      <c r="H585" s="8">
        <v>3580</v>
      </c>
      <c r="I585" s="8">
        <v>0</v>
      </c>
      <c r="J585" s="8">
        <v>0</v>
      </c>
      <c r="K585" s="8">
        <v>1200</v>
      </c>
      <c r="L585" s="8">
        <v>0</v>
      </c>
      <c r="M585" s="8">
        <v>0</v>
      </c>
      <c r="N585" s="24">
        <f>L585</f>
        <v>0</v>
      </c>
      <c r="O585" s="24">
        <v>0</v>
      </c>
      <c r="P585" s="454">
        <f t="shared" si="111"/>
        <v>0</v>
      </c>
      <c r="Q585" s="292">
        <f aca="true" t="shared" si="123" ref="Q585:Q598">K585/$K$662</f>
        <v>3.439137047146614E-05</v>
      </c>
      <c r="R585" s="293">
        <f t="shared" si="122"/>
        <v>0</v>
      </c>
    </row>
    <row r="586" spans="1:18" ht="22.5" customHeight="1">
      <c r="A586" s="23"/>
      <c r="B586" s="23" t="s">
        <v>475</v>
      </c>
      <c r="C586" s="29" t="s">
        <v>377</v>
      </c>
      <c r="D586" s="8">
        <v>338872</v>
      </c>
      <c r="E586" s="8">
        <v>347249</v>
      </c>
      <c r="F586" s="8">
        <v>4011</v>
      </c>
      <c r="G586" s="8">
        <v>5633</v>
      </c>
      <c r="H586" s="20">
        <v>240145</v>
      </c>
      <c r="I586" s="20">
        <v>0</v>
      </c>
      <c r="J586" s="20">
        <v>0</v>
      </c>
      <c r="K586" s="8">
        <v>281932</v>
      </c>
      <c r="L586" s="8">
        <v>283987</v>
      </c>
      <c r="M586" s="8">
        <v>0</v>
      </c>
      <c r="N586" s="24">
        <f>L586</f>
        <v>283987</v>
      </c>
      <c r="O586" s="24">
        <v>0</v>
      </c>
      <c r="P586" s="454">
        <f t="shared" si="111"/>
        <v>1.0072889916717507</v>
      </c>
      <c r="Q586" s="292">
        <f t="shared" si="123"/>
        <v>0.008080023216467827</v>
      </c>
      <c r="R586" s="293">
        <f aca="true" t="shared" si="124" ref="R586:R626">L586/$L$662</f>
        <v>0.0086600771440832</v>
      </c>
    </row>
    <row r="587" spans="1:18" ht="16.5" customHeight="1">
      <c r="A587" s="23"/>
      <c r="B587" s="23" t="s">
        <v>479</v>
      </c>
      <c r="C587" s="29" t="s">
        <v>480</v>
      </c>
      <c r="D587" s="8">
        <v>22404</v>
      </c>
      <c r="E587" s="8">
        <v>26837</v>
      </c>
      <c r="F587" s="8">
        <v>0</v>
      </c>
      <c r="G587" s="8">
        <v>0</v>
      </c>
      <c r="H587" s="8">
        <v>17713</v>
      </c>
      <c r="I587" s="8">
        <v>0</v>
      </c>
      <c r="J587" s="8">
        <v>0</v>
      </c>
      <c r="K587" s="8">
        <v>22265</v>
      </c>
      <c r="L587" s="8">
        <v>22479</v>
      </c>
      <c r="M587" s="8">
        <v>0</v>
      </c>
      <c r="N587" s="24">
        <f aca="true" t="shared" si="125" ref="N587:N598">L587</f>
        <v>22479</v>
      </c>
      <c r="O587" s="24">
        <v>0</v>
      </c>
      <c r="P587" s="454">
        <f t="shared" si="111"/>
        <v>1.0096114978666069</v>
      </c>
      <c r="Q587" s="292">
        <f t="shared" si="123"/>
        <v>0.0006381032196226613</v>
      </c>
      <c r="R587" s="293">
        <f t="shared" si="124"/>
        <v>0.0006854886812489525</v>
      </c>
    </row>
    <row r="588" spans="1:18" ht="15" customHeight="1">
      <c r="A588" s="23"/>
      <c r="B588" s="36" t="s">
        <v>532</v>
      </c>
      <c r="C588" s="29" t="s">
        <v>554</v>
      </c>
      <c r="D588" s="8">
        <v>73812</v>
      </c>
      <c r="E588" s="8">
        <v>65930</v>
      </c>
      <c r="F588" s="8">
        <v>360</v>
      </c>
      <c r="G588" s="8">
        <v>1005</v>
      </c>
      <c r="H588" s="8">
        <v>45324</v>
      </c>
      <c r="I588" s="8">
        <v>0</v>
      </c>
      <c r="J588" s="8">
        <v>0</v>
      </c>
      <c r="K588" s="8">
        <v>53526</v>
      </c>
      <c r="L588" s="8">
        <v>52867</v>
      </c>
      <c r="M588" s="8">
        <v>0</v>
      </c>
      <c r="N588" s="24">
        <f t="shared" si="125"/>
        <v>52867</v>
      </c>
      <c r="O588" s="24">
        <v>0</v>
      </c>
      <c r="P588" s="454">
        <f t="shared" si="111"/>
        <v>0.9876882262825543</v>
      </c>
      <c r="Q588" s="292">
        <f t="shared" si="123"/>
        <v>0.0015340270798797472</v>
      </c>
      <c r="R588" s="293">
        <f t="shared" si="124"/>
        <v>0.0016121593536895934</v>
      </c>
    </row>
    <row r="589" spans="1:18" ht="14.25" customHeight="1">
      <c r="A589" s="23"/>
      <c r="B589" s="36" t="s">
        <v>483</v>
      </c>
      <c r="C589" s="29" t="s">
        <v>484</v>
      </c>
      <c r="D589" s="8"/>
      <c r="E589" s="8">
        <v>9068</v>
      </c>
      <c r="F589" s="8">
        <v>49</v>
      </c>
      <c r="G589" s="8">
        <v>138</v>
      </c>
      <c r="H589" s="8">
        <v>6263</v>
      </c>
      <c r="I589" s="8">
        <v>0</v>
      </c>
      <c r="J589" s="8">
        <v>0</v>
      </c>
      <c r="K589" s="8">
        <v>7397</v>
      </c>
      <c r="L589" s="8">
        <v>7651</v>
      </c>
      <c r="M589" s="8">
        <v>0</v>
      </c>
      <c r="N589" s="24">
        <f t="shared" si="125"/>
        <v>7651</v>
      </c>
      <c r="O589" s="24">
        <v>0</v>
      </c>
      <c r="P589" s="454">
        <f t="shared" si="111"/>
        <v>1.0343382452345546</v>
      </c>
      <c r="Q589" s="292">
        <f t="shared" si="123"/>
        <v>0.00021199413948119587</v>
      </c>
      <c r="R589" s="293">
        <f t="shared" si="124"/>
        <v>0.0002333143778742709</v>
      </c>
    </row>
    <row r="590" spans="1:18" ht="14.25" customHeight="1">
      <c r="A590" s="23"/>
      <c r="B590" s="36" t="s">
        <v>256</v>
      </c>
      <c r="C590" s="29" t="s">
        <v>257</v>
      </c>
      <c r="D590" s="8"/>
      <c r="E590" s="8"/>
      <c r="F590" s="8"/>
      <c r="G590" s="8"/>
      <c r="H590" s="8"/>
      <c r="I590" s="8"/>
      <c r="J590" s="8"/>
      <c r="K590" s="8">
        <v>1000</v>
      </c>
      <c r="L590" s="8">
        <v>1000</v>
      </c>
      <c r="M590" s="8">
        <v>0</v>
      </c>
      <c r="N590" s="24">
        <f>L590</f>
        <v>1000</v>
      </c>
      <c r="O590" s="24">
        <v>0</v>
      </c>
      <c r="P590" s="454">
        <f t="shared" si="111"/>
        <v>1</v>
      </c>
      <c r="Q590" s="292">
        <f t="shared" si="123"/>
        <v>2.865947539288845E-05</v>
      </c>
      <c r="R590" s="293">
        <f t="shared" si="124"/>
        <v>3.0494625261308444E-05</v>
      </c>
    </row>
    <row r="591" spans="1:18" ht="15.75" customHeight="1">
      <c r="A591" s="23"/>
      <c r="B591" s="36" t="s">
        <v>485</v>
      </c>
      <c r="C591" s="29" t="s">
        <v>631</v>
      </c>
      <c r="D591" s="8"/>
      <c r="E591" s="8">
        <v>17339</v>
      </c>
      <c r="F591" s="8">
        <v>5526</v>
      </c>
      <c r="G591" s="8">
        <v>0</v>
      </c>
      <c r="H591" s="8">
        <v>25571</v>
      </c>
      <c r="I591" s="8">
        <v>0</v>
      </c>
      <c r="J591" s="8">
        <v>0</v>
      </c>
      <c r="K591" s="8">
        <v>16355</v>
      </c>
      <c r="L591" s="8">
        <v>13010</v>
      </c>
      <c r="M591" s="8">
        <v>0</v>
      </c>
      <c r="N591" s="24">
        <f t="shared" si="125"/>
        <v>13010</v>
      </c>
      <c r="O591" s="24">
        <v>0</v>
      </c>
      <c r="P591" s="454">
        <f t="shared" si="111"/>
        <v>0.7954753897890553</v>
      </c>
      <c r="Q591" s="292">
        <f t="shared" si="123"/>
        <v>0.0004687257200506906</v>
      </c>
      <c r="R591" s="293">
        <f t="shared" si="124"/>
        <v>0.00039673507464962286</v>
      </c>
    </row>
    <row r="592" spans="1:18" ht="15" customHeight="1">
      <c r="A592" s="23"/>
      <c r="B592" s="36" t="s">
        <v>624</v>
      </c>
      <c r="C592" s="29" t="s">
        <v>705</v>
      </c>
      <c r="D592" s="8"/>
      <c r="E592" s="8">
        <v>4149</v>
      </c>
      <c r="F592" s="8">
        <v>0</v>
      </c>
      <c r="G592" s="8">
        <v>0</v>
      </c>
      <c r="H592" s="8">
        <v>1500</v>
      </c>
      <c r="I592" s="8">
        <v>0</v>
      </c>
      <c r="J592" s="8">
        <v>0</v>
      </c>
      <c r="K592" s="8">
        <v>1500</v>
      </c>
      <c r="L592" s="8">
        <v>2000</v>
      </c>
      <c r="M592" s="8">
        <v>0</v>
      </c>
      <c r="N592" s="24">
        <f t="shared" si="125"/>
        <v>2000</v>
      </c>
      <c r="O592" s="24">
        <v>0</v>
      </c>
      <c r="P592" s="454">
        <f t="shared" si="111"/>
        <v>1.3333333333333333</v>
      </c>
      <c r="Q592" s="292">
        <f t="shared" si="123"/>
        <v>4.2989213089332676E-05</v>
      </c>
      <c r="R592" s="293">
        <f t="shared" si="124"/>
        <v>6.098925052261689E-05</v>
      </c>
    </row>
    <row r="593" spans="1:18" ht="15.75" customHeight="1">
      <c r="A593" s="23"/>
      <c r="B593" s="36" t="s">
        <v>487</v>
      </c>
      <c r="C593" s="29" t="s">
        <v>584</v>
      </c>
      <c r="D593" s="8"/>
      <c r="E593" s="8">
        <v>4365</v>
      </c>
      <c r="F593" s="8">
        <v>350</v>
      </c>
      <c r="G593" s="8">
        <v>0</v>
      </c>
      <c r="H593" s="8">
        <v>3966</v>
      </c>
      <c r="I593" s="8">
        <v>0</v>
      </c>
      <c r="J593" s="8">
        <v>0</v>
      </c>
      <c r="K593" s="8">
        <v>3900</v>
      </c>
      <c r="L593" s="8">
        <v>3900</v>
      </c>
      <c r="M593" s="8">
        <v>0</v>
      </c>
      <c r="N593" s="24">
        <f t="shared" si="125"/>
        <v>3900</v>
      </c>
      <c r="O593" s="24">
        <v>0</v>
      </c>
      <c r="P593" s="454">
        <f t="shared" si="111"/>
        <v>1</v>
      </c>
      <c r="Q593" s="292">
        <f t="shared" si="123"/>
        <v>0.00011177195403226496</v>
      </c>
      <c r="R593" s="293">
        <f t="shared" si="124"/>
        <v>0.00011892903851910293</v>
      </c>
    </row>
    <row r="594" spans="1:18" ht="15" customHeight="1">
      <c r="A594" s="23"/>
      <c r="B594" s="36" t="s">
        <v>491</v>
      </c>
      <c r="C594" s="29" t="s">
        <v>586</v>
      </c>
      <c r="D594" s="8"/>
      <c r="E594" s="8">
        <v>6136</v>
      </c>
      <c r="F594" s="8">
        <v>800</v>
      </c>
      <c r="G594" s="8">
        <v>0</v>
      </c>
      <c r="H594" s="8">
        <v>6503</v>
      </c>
      <c r="I594" s="8">
        <v>0</v>
      </c>
      <c r="J594" s="8">
        <v>0</v>
      </c>
      <c r="K594" s="8">
        <v>6300</v>
      </c>
      <c r="L594" s="8">
        <v>7000</v>
      </c>
      <c r="M594" s="8">
        <v>0</v>
      </c>
      <c r="N594" s="24">
        <f t="shared" si="125"/>
        <v>7000</v>
      </c>
      <c r="O594" s="24">
        <v>0</v>
      </c>
      <c r="P594" s="454">
        <f t="shared" si="111"/>
        <v>1.1111111111111112</v>
      </c>
      <c r="Q594" s="292">
        <f t="shared" si="123"/>
        <v>0.00018055469497519724</v>
      </c>
      <c r="R594" s="293">
        <f t="shared" si="124"/>
        <v>0.00021346237682915911</v>
      </c>
    </row>
    <row r="595" spans="1:18" ht="15" customHeight="1">
      <c r="A595" s="23"/>
      <c r="B595" s="36" t="s">
        <v>258</v>
      </c>
      <c r="C595" s="29" t="s">
        <v>973</v>
      </c>
      <c r="D595" s="8"/>
      <c r="E595" s="8"/>
      <c r="F595" s="8"/>
      <c r="G595" s="8"/>
      <c r="H595" s="8"/>
      <c r="I595" s="8"/>
      <c r="J595" s="8"/>
      <c r="K595" s="8">
        <v>1000</v>
      </c>
      <c r="L595" s="8">
        <v>1930</v>
      </c>
      <c r="M595" s="8">
        <v>0</v>
      </c>
      <c r="N595" s="24">
        <f>L595</f>
        <v>1930</v>
      </c>
      <c r="O595" s="24">
        <v>0</v>
      </c>
      <c r="P595" s="454">
        <f t="shared" si="111"/>
        <v>1.93</v>
      </c>
      <c r="Q595" s="292">
        <f t="shared" si="123"/>
        <v>2.865947539288845E-05</v>
      </c>
      <c r="R595" s="293">
        <f t="shared" si="124"/>
        <v>5.8854626754325295E-05</v>
      </c>
    </row>
    <row r="596" spans="1:18" ht="16.5" customHeight="1">
      <c r="A596" s="23"/>
      <c r="B596" s="36" t="s">
        <v>493</v>
      </c>
      <c r="C596" s="29" t="s">
        <v>494</v>
      </c>
      <c r="D596" s="8"/>
      <c r="E596" s="8">
        <v>1250</v>
      </c>
      <c r="F596" s="8">
        <v>100</v>
      </c>
      <c r="G596" s="8">
        <v>0</v>
      </c>
      <c r="H596" s="8">
        <v>2500</v>
      </c>
      <c r="I596" s="8">
        <v>0</v>
      </c>
      <c r="J596" s="8">
        <v>0</v>
      </c>
      <c r="K596" s="8">
        <v>2600</v>
      </c>
      <c r="L596" s="8">
        <v>3000</v>
      </c>
      <c r="M596" s="8">
        <v>0</v>
      </c>
      <c r="N596" s="24">
        <f t="shared" si="125"/>
        <v>3000</v>
      </c>
      <c r="O596" s="24">
        <v>0</v>
      </c>
      <c r="P596" s="454">
        <f aca="true" t="shared" si="126" ref="P596:P657">L596/K596</f>
        <v>1.1538461538461537</v>
      </c>
      <c r="Q596" s="292">
        <f t="shared" si="123"/>
        <v>7.451463602150997E-05</v>
      </c>
      <c r="R596" s="293">
        <f t="shared" si="124"/>
        <v>9.148387578392533E-05</v>
      </c>
    </row>
    <row r="597" spans="1:18" ht="15.75" customHeight="1">
      <c r="A597" s="23"/>
      <c r="B597" s="23" t="s">
        <v>497</v>
      </c>
      <c r="C597" s="11" t="s">
        <v>498</v>
      </c>
      <c r="D597" s="8"/>
      <c r="E597" s="8">
        <v>21517</v>
      </c>
      <c r="F597" s="8">
        <v>0</v>
      </c>
      <c r="G597" s="8">
        <v>0</v>
      </c>
      <c r="H597" s="8">
        <v>11800</v>
      </c>
      <c r="I597" s="8">
        <v>0</v>
      </c>
      <c r="J597" s="8">
        <v>0</v>
      </c>
      <c r="K597" s="8">
        <v>14922</v>
      </c>
      <c r="L597" s="8">
        <v>16560</v>
      </c>
      <c r="M597" s="8">
        <v>0</v>
      </c>
      <c r="N597" s="24">
        <f t="shared" si="125"/>
        <v>16560</v>
      </c>
      <c r="O597" s="24">
        <v>0</v>
      </c>
      <c r="P597" s="454">
        <f t="shared" si="126"/>
        <v>1.1097708082026538</v>
      </c>
      <c r="Q597" s="292">
        <f t="shared" si="123"/>
        <v>0.0004276566918126814</v>
      </c>
      <c r="R597" s="293">
        <f t="shared" si="124"/>
        <v>0.0005049909943272678</v>
      </c>
    </row>
    <row r="598" spans="1:18" ht="15" customHeight="1">
      <c r="A598" s="23"/>
      <c r="B598" s="23" t="s">
        <v>513</v>
      </c>
      <c r="C598" s="11" t="s">
        <v>514</v>
      </c>
      <c r="D598" s="8"/>
      <c r="E598" s="8"/>
      <c r="F598" s="8"/>
      <c r="G598" s="8"/>
      <c r="H598" s="8">
        <v>1217</v>
      </c>
      <c r="I598" s="8">
        <v>0</v>
      </c>
      <c r="J598" s="8">
        <v>0</v>
      </c>
      <c r="K598" s="8">
        <v>703</v>
      </c>
      <c r="L598" s="8">
        <v>616</v>
      </c>
      <c r="M598" s="8">
        <v>0</v>
      </c>
      <c r="N598" s="24">
        <f t="shared" si="125"/>
        <v>616</v>
      </c>
      <c r="O598" s="24">
        <v>0</v>
      </c>
      <c r="P598" s="454">
        <f t="shared" si="126"/>
        <v>0.8762446657183499</v>
      </c>
      <c r="Q598" s="292">
        <f t="shared" si="123"/>
        <v>2.014761120120058E-05</v>
      </c>
      <c r="R598" s="293">
        <f t="shared" si="124"/>
        <v>1.8784689160966E-05</v>
      </c>
    </row>
    <row r="599" spans="1:18" ht="23.25" customHeight="1">
      <c r="A599" s="26" t="s">
        <v>730</v>
      </c>
      <c r="B599" s="26"/>
      <c r="C599" s="4" t="s">
        <v>731</v>
      </c>
      <c r="D599" s="7">
        <f>D601+D602+D603+D613+D614</f>
        <v>1352143</v>
      </c>
      <c r="E599" s="7">
        <f>E601+E602+E603+E604+E600+E606+E607+E608+E609+E610+E611+E613+E612</f>
        <v>1297440</v>
      </c>
      <c r="F599" s="7">
        <f>F601+F602+F603+F604+F600+F606+F607+F608+F609+F610+F611+F613+F612</f>
        <v>12761</v>
      </c>
      <c r="G599" s="7">
        <f>G601+G602+G603+G604+G600+G606+G607+G608+G609+G610+G611+G613+G612</f>
        <v>11333</v>
      </c>
      <c r="H599" s="7" t="e">
        <f>H601+H602+H603+H604+H600+#REF!+H616+H617+H619+H620+H622+#REF!</f>
        <v>#REF!</v>
      </c>
      <c r="I599" s="7" t="e">
        <f>I601+I602+I603+I604+I600+#REF!+I616+I617+I619+I620+I622</f>
        <v>#REF!</v>
      </c>
      <c r="J599" s="7" t="e">
        <f>J601+J602+J603+J604+J600+#REF!+J616+J617+J619+J620+J622</f>
        <v>#REF!</v>
      </c>
      <c r="K599" s="7">
        <f>SUM(K600:K625)</f>
        <v>1133863</v>
      </c>
      <c r="L599" s="7">
        <f>SUM(L600:L625)</f>
        <v>1580280</v>
      </c>
      <c r="M599" s="7">
        <f>SUM(M600:M625)</f>
        <v>0</v>
      </c>
      <c r="N599" s="7">
        <f>SUM(N600:N625)</f>
        <v>1580280</v>
      </c>
      <c r="O599" s="7">
        <f>SUM(O600:O625)</f>
        <v>0</v>
      </c>
      <c r="P599" s="454">
        <f t="shared" si="126"/>
        <v>1.393713349849144</v>
      </c>
      <c r="Q599" s="133">
        <f>SUM(Q600:Q625)</f>
        <v>0.03249591874740668</v>
      </c>
      <c r="R599" s="293">
        <f t="shared" si="124"/>
        <v>0.04819004640794051</v>
      </c>
    </row>
    <row r="600" spans="1:18" ht="21" customHeight="1">
      <c r="A600" s="23"/>
      <c r="B600" s="36" t="s">
        <v>461</v>
      </c>
      <c r="C600" s="11" t="s">
        <v>634</v>
      </c>
      <c r="D600" s="8"/>
      <c r="E600" s="8">
        <v>1600</v>
      </c>
      <c r="F600" s="8">
        <v>0</v>
      </c>
      <c r="G600" s="8">
        <v>140</v>
      </c>
      <c r="H600" s="20">
        <v>2734</v>
      </c>
      <c r="I600" s="20">
        <v>0</v>
      </c>
      <c r="J600" s="20">
        <v>0</v>
      </c>
      <c r="K600" s="8">
        <v>500</v>
      </c>
      <c r="L600" s="8">
        <v>0</v>
      </c>
      <c r="M600" s="8">
        <v>0</v>
      </c>
      <c r="N600" s="24">
        <f>L600</f>
        <v>0</v>
      </c>
      <c r="O600" s="24">
        <v>0</v>
      </c>
      <c r="P600" s="454">
        <f t="shared" si="126"/>
        <v>0</v>
      </c>
      <c r="Q600" s="292">
        <f aca="true" t="shared" si="127" ref="Q600:Q627">K600/$K$662</f>
        <v>1.4329737696444225E-05</v>
      </c>
      <c r="R600" s="293">
        <f t="shared" si="124"/>
        <v>0</v>
      </c>
    </row>
    <row r="601" spans="1:18" ht="25.5" customHeight="1">
      <c r="A601" s="23"/>
      <c r="B601" s="23" t="s">
        <v>475</v>
      </c>
      <c r="C601" s="11" t="s">
        <v>476</v>
      </c>
      <c r="D601" s="8">
        <v>760149</v>
      </c>
      <c r="E601" s="8">
        <v>761652</v>
      </c>
      <c r="F601" s="8">
        <v>1187</v>
      </c>
      <c r="G601" s="8">
        <v>0</v>
      </c>
      <c r="H601" s="8">
        <v>374354</v>
      </c>
      <c r="I601" s="8">
        <v>0</v>
      </c>
      <c r="J601" s="8">
        <v>0</v>
      </c>
      <c r="K601" s="8">
        <v>461401</v>
      </c>
      <c r="L601" s="8">
        <v>463820</v>
      </c>
      <c r="M601" s="8">
        <v>0</v>
      </c>
      <c r="N601" s="24">
        <f>L601</f>
        <v>463820</v>
      </c>
      <c r="O601" s="24">
        <v>0</v>
      </c>
      <c r="P601" s="454">
        <f t="shared" si="126"/>
        <v>1.0052427281258602</v>
      </c>
      <c r="Q601" s="292">
        <f t="shared" si="127"/>
        <v>0.013223510605754123</v>
      </c>
      <c r="R601" s="293">
        <f t="shared" si="124"/>
        <v>0.014144017088700082</v>
      </c>
    </row>
    <row r="602" spans="1:18" ht="15" customHeight="1">
      <c r="A602" s="23"/>
      <c r="B602" s="23" t="s">
        <v>479</v>
      </c>
      <c r="C602" s="11" t="s">
        <v>480</v>
      </c>
      <c r="D602" s="8">
        <v>56427</v>
      </c>
      <c r="E602" s="8">
        <v>62354</v>
      </c>
      <c r="F602" s="8">
        <v>0</v>
      </c>
      <c r="G602" s="8">
        <v>0</v>
      </c>
      <c r="H602" s="20">
        <v>32155</v>
      </c>
      <c r="I602" s="20">
        <v>0</v>
      </c>
      <c r="J602" s="20">
        <v>0</v>
      </c>
      <c r="K602" s="8">
        <v>35184</v>
      </c>
      <c r="L602" s="8">
        <v>39282</v>
      </c>
      <c r="M602" s="8">
        <v>0</v>
      </c>
      <c r="N602" s="24">
        <f aca="true" t="shared" si="128" ref="N602:N622">L602</f>
        <v>39282</v>
      </c>
      <c r="O602" s="24">
        <v>0</v>
      </c>
      <c r="P602" s="454">
        <f t="shared" si="126"/>
        <v>1.1164733969986358</v>
      </c>
      <c r="Q602" s="292">
        <f t="shared" si="127"/>
        <v>0.0010083549822233872</v>
      </c>
      <c r="R602" s="293">
        <f t="shared" si="124"/>
        <v>0.0011978898695147182</v>
      </c>
    </row>
    <row r="603" spans="1:18" ht="16.5" customHeight="1">
      <c r="A603" s="23"/>
      <c r="B603" s="36" t="s">
        <v>532</v>
      </c>
      <c r="C603" s="11" t="s">
        <v>509</v>
      </c>
      <c r="D603" s="8">
        <v>162435</v>
      </c>
      <c r="E603" s="8">
        <v>143919</v>
      </c>
      <c r="F603" s="8">
        <v>212</v>
      </c>
      <c r="G603" s="8">
        <v>0</v>
      </c>
      <c r="H603" s="20">
        <v>69400</v>
      </c>
      <c r="I603" s="20">
        <v>0</v>
      </c>
      <c r="J603" s="20">
        <v>0</v>
      </c>
      <c r="K603" s="8">
        <v>86157</v>
      </c>
      <c r="L603" s="8">
        <v>84056</v>
      </c>
      <c r="M603" s="8">
        <v>0</v>
      </c>
      <c r="N603" s="24">
        <f t="shared" si="128"/>
        <v>84056</v>
      </c>
      <c r="O603" s="24">
        <v>0</v>
      </c>
      <c r="P603" s="454">
        <f t="shared" si="126"/>
        <v>0.9756142855484755</v>
      </c>
      <c r="Q603" s="292">
        <f t="shared" si="127"/>
        <v>0.00246921442142509</v>
      </c>
      <c r="R603" s="293">
        <f t="shared" si="124"/>
        <v>0.0025632562209645425</v>
      </c>
    </row>
    <row r="604" spans="1:18" ht="13.5" customHeight="1">
      <c r="A604" s="23"/>
      <c r="B604" s="36" t="s">
        <v>483</v>
      </c>
      <c r="C604" s="11" t="s">
        <v>484</v>
      </c>
      <c r="D604" s="8"/>
      <c r="E604" s="8">
        <v>19637</v>
      </c>
      <c r="F604" s="8">
        <v>29</v>
      </c>
      <c r="G604" s="8">
        <v>0</v>
      </c>
      <c r="H604" s="20">
        <v>9470</v>
      </c>
      <c r="I604" s="20">
        <v>0</v>
      </c>
      <c r="J604" s="20">
        <v>0</v>
      </c>
      <c r="K604" s="8">
        <v>11954</v>
      </c>
      <c r="L604" s="8">
        <v>11720</v>
      </c>
      <c r="M604" s="8">
        <v>0</v>
      </c>
      <c r="N604" s="24">
        <f t="shared" si="128"/>
        <v>11720</v>
      </c>
      <c r="O604" s="24">
        <v>0</v>
      </c>
      <c r="P604" s="454">
        <f t="shared" si="126"/>
        <v>0.9804249623556969</v>
      </c>
      <c r="Q604" s="292">
        <f t="shared" si="127"/>
        <v>0.00034259536884658853</v>
      </c>
      <c r="R604" s="293">
        <f t="shared" si="124"/>
        <v>0.000357397008062535</v>
      </c>
    </row>
    <row r="605" spans="1:18" ht="13.5" customHeight="1">
      <c r="A605" s="23"/>
      <c r="B605" s="36" t="s">
        <v>256</v>
      </c>
      <c r="C605" s="11" t="s">
        <v>257</v>
      </c>
      <c r="D605" s="8"/>
      <c r="E605" s="8"/>
      <c r="F605" s="8"/>
      <c r="G605" s="8"/>
      <c r="H605" s="20"/>
      <c r="I605" s="20"/>
      <c r="J605" s="20"/>
      <c r="K605" s="8">
        <v>8804</v>
      </c>
      <c r="L605" s="8">
        <v>5000</v>
      </c>
      <c r="M605" s="8">
        <v>0</v>
      </c>
      <c r="N605" s="24">
        <f>L605</f>
        <v>5000</v>
      </c>
      <c r="O605" s="24">
        <v>0</v>
      </c>
      <c r="P605" s="454">
        <f t="shared" si="126"/>
        <v>0.5679236710586097</v>
      </c>
      <c r="Q605" s="292">
        <f t="shared" si="127"/>
        <v>0.0002523180213589899</v>
      </c>
      <c r="R605" s="293">
        <f t="shared" si="124"/>
        <v>0.0001524731263065422</v>
      </c>
    </row>
    <row r="606" spans="1:18" ht="18" customHeight="1" hidden="1">
      <c r="A606" s="23"/>
      <c r="B606" s="36" t="s">
        <v>461</v>
      </c>
      <c r="C606" s="11" t="s">
        <v>690</v>
      </c>
      <c r="D606" s="8"/>
      <c r="E606" s="8">
        <v>6404</v>
      </c>
      <c r="F606" s="8">
        <v>0</v>
      </c>
      <c r="G606" s="8">
        <v>357</v>
      </c>
      <c r="H606" s="20"/>
      <c r="I606" s="20"/>
      <c r="J606" s="20"/>
      <c r="K606" s="8">
        <v>0</v>
      </c>
      <c r="L606" s="8"/>
      <c r="M606" s="8">
        <v>0</v>
      </c>
      <c r="N606" s="24">
        <f t="shared" si="128"/>
        <v>0</v>
      </c>
      <c r="O606" s="24">
        <v>0</v>
      </c>
      <c r="P606" s="454" t="e">
        <f t="shared" si="126"/>
        <v>#DIV/0!</v>
      </c>
      <c r="Q606" s="292">
        <f t="shared" si="127"/>
        <v>0</v>
      </c>
      <c r="R606" s="293">
        <f t="shared" si="124"/>
        <v>0</v>
      </c>
    </row>
    <row r="607" spans="1:18" ht="18.75" customHeight="1" hidden="1">
      <c r="A607" s="23"/>
      <c r="B607" s="36" t="s">
        <v>485</v>
      </c>
      <c r="C607" s="11" t="s">
        <v>631</v>
      </c>
      <c r="D607" s="8"/>
      <c r="E607" s="8">
        <v>142200</v>
      </c>
      <c r="F607" s="8">
        <v>10663</v>
      </c>
      <c r="G607" s="8">
        <v>0</v>
      </c>
      <c r="H607" s="20"/>
      <c r="I607" s="20"/>
      <c r="J607" s="20"/>
      <c r="K607" s="8">
        <v>0</v>
      </c>
      <c r="L607" s="8"/>
      <c r="M607" s="8">
        <v>0</v>
      </c>
      <c r="N607" s="24">
        <f t="shared" si="128"/>
        <v>0</v>
      </c>
      <c r="O607" s="24">
        <v>0</v>
      </c>
      <c r="P607" s="454" t="e">
        <f t="shared" si="126"/>
        <v>#DIV/0!</v>
      </c>
      <c r="Q607" s="292">
        <f t="shared" si="127"/>
        <v>0</v>
      </c>
      <c r="R607" s="293">
        <f t="shared" si="124"/>
        <v>0</v>
      </c>
    </row>
    <row r="608" spans="1:18" ht="15.75" customHeight="1" hidden="1">
      <c r="A608" s="23"/>
      <c r="B608" s="36" t="s">
        <v>487</v>
      </c>
      <c r="C608" s="11" t="s">
        <v>584</v>
      </c>
      <c r="D608" s="8"/>
      <c r="E608" s="8">
        <v>85706</v>
      </c>
      <c r="F608" s="8">
        <v>0</v>
      </c>
      <c r="G608" s="8">
        <v>4000</v>
      </c>
      <c r="H608" s="20"/>
      <c r="I608" s="20"/>
      <c r="J608" s="20"/>
      <c r="K608" s="8">
        <v>0</v>
      </c>
      <c r="L608" s="8"/>
      <c r="M608" s="8">
        <v>0</v>
      </c>
      <c r="N608" s="24">
        <f t="shared" si="128"/>
        <v>0</v>
      </c>
      <c r="O608" s="24">
        <v>0</v>
      </c>
      <c r="P608" s="454" t="e">
        <f t="shared" si="126"/>
        <v>#DIV/0!</v>
      </c>
      <c r="Q608" s="292">
        <f t="shared" si="127"/>
        <v>0</v>
      </c>
      <c r="R608" s="293">
        <f t="shared" si="124"/>
        <v>0</v>
      </c>
    </row>
    <row r="609" spans="1:18" ht="15" customHeight="1" hidden="1">
      <c r="A609" s="23"/>
      <c r="B609" s="36" t="s">
        <v>489</v>
      </c>
      <c r="C609" s="11" t="s">
        <v>490</v>
      </c>
      <c r="D609" s="8"/>
      <c r="E609" s="8">
        <v>1000</v>
      </c>
      <c r="F609" s="8">
        <v>0</v>
      </c>
      <c r="G609" s="8">
        <v>1000</v>
      </c>
      <c r="H609" s="20"/>
      <c r="I609" s="20"/>
      <c r="J609" s="20"/>
      <c r="K609" s="8">
        <v>0</v>
      </c>
      <c r="L609" s="8"/>
      <c r="M609" s="8">
        <v>0</v>
      </c>
      <c r="N609" s="24">
        <f t="shared" si="128"/>
        <v>0</v>
      </c>
      <c r="O609" s="24">
        <v>0</v>
      </c>
      <c r="P609" s="454" t="e">
        <f t="shared" si="126"/>
        <v>#DIV/0!</v>
      </c>
      <c r="Q609" s="292">
        <f t="shared" si="127"/>
        <v>0</v>
      </c>
      <c r="R609" s="293">
        <f t="shared" si="124"/>
        <v>0</v>
      </c>
    </row>
    <row r="610" spans="1:18" ht="14.25" customHeight="1" hidden="1">
      <c r="A610" s="23"/>
      <c r="B610" s="36" t="s">
        <v>491</v>
      </c>
      <c r="C610" s="11" t="s">
        <v>586</v>
      </c>
      <c r="D610" s="8"/>
      <c r="E610" s="8">
        <v>27769</v>
      </c>
      <c r="F610" s="8">
        <v>0</v>
      </c>
      <c r="G610" s="8">
        <v>3670</v>
      </c>
      <c r="H610" s="20"/>
      <c r="I610" s="20"/>
      <c r="J610" s="20"/>
      <c r="K610" s="8">
        <v>0</v>
      </c>
      <c r="L610" s="8"/>
      <c r="M610" s="8">
        <v>0</v>
      </c>
      <c r="N610" s="24">
        <f t="shared" si="128"/>
        <v>0</v>
      </c>
      <c r="O610" s="24">
        <v>0</v>
      </c>
      <c r="P610" s="454" t="e">
        <f t="shared" si="126"/>
        <v>#DIV/0!</v>
      </c>
      <c r="Q610" s="292">
        <f t="shared" si="127"/>
        <v>0</v>
      </c>
      <c r="R610" s="293">
        <f t="shared" si="124"/>
        <v>0</v>
      </c>
    </row>
    <row r="611" spans="1:18" ht="15" customHeight="1" hidden="1">
      <c r="A611" s="23"/>
      <c r="B611" s="36" t="s">
        <v>493</v>
      </c>
      <c r="C611" s="11" t="s">
        <v>494</v>
      </c>
      <c r="D611" s="8"/>
      <c r="E611" s="8">
        <v>272</v>
      </c>
      <c r="F611" s="8">
        <v>0</v>
      </c>
      <c r="G611" s="8">
        <v>100</v>
      </c>
      <c r="H611" s="20"/>
      <c r="I611" s="20"/>
      <c r="J611" s="20"/>
      <c r="K611" s="8">
        <v>0</v>
      </c>
      <c r="L611" s="8"/>
      <c r="M611" s="8">
        <v>0</v>
      </c>
      <c r="N611" s="24">
        <f t="shared" si="128"/>
        <v>0</v>
      </c>
      <c r="O611" s="24">
        <v>0</v>
      </c>
      <c r="P611" s="454" t="e">
        <f t="shared" si="126"/>
        <v>#DIV/0!</v>
      </c>
      <c r="Q611" s="292">
        <f t="shared" si="127"/>
        <v>0</v>
      </c>
      <c r="R611" s="293">
        <f t="shared" si="124"/>
        <v>0</v>
      </c>
    </row>
    <row r="612" spans="1:18" ht="12.75" customHeight="1" hidden="1">
      <c r="A612" s="23"/>
      <c r="B612" s="36" t="s">
        <v>495</v>
      </c>
      <c r="C612" s="11" t="s">
        <v>496</v>
      </c>
      <c r="D612" s="8"/>
      <c r="E612" s="8">
        <v>513</v>
      </c>
      <c r="F612" s="8">
        <v>0</v>
      </c>
      <c r="G612" s="8">
        <v>0</v>
      </c>
      <c r="H612" s="20"/>
      <c r="I612" s="20"/>
      <c r="J612" s="20"/>
      <c r="K612" s="8">
        <v>0</v>
      </c>
      <c r="L612" s="8"/>
      <c r="M612" s="8">
        <v>0</v>
      </c>
      <c r="N612" s="24">
        <f t="shared" si="128"/>
        <v>0</v>
      </c>
      <c r="O612" s="24">
        <v>0</v>
      </c>
      <c r="P612" s="454" t="e">
        <f t="shared" si="126"/>
        <v>#DIV/0!</v>
      </c>
      <c r="Q612" s="292">
        <f t="shared" si="127"/>
        <v>0</v>
      </c>
      <c r="R612" s="293">
        <f t="shared" si="124"/>
        <v>0</v>
      </c>
    </row>
    <row r="613" spans="1:18" ht="12.75" customHeight="1" hidden="1">
      <c r="A613" s="23"/>
      <c r="B613" s="23" t="s">
        <v>497</v>
      </c>
      <c r="C613" s="8" t="s">
        <v>498</v>
      </c>
      <c r="D613" s="8">
        <v>281900</v>
      </c>
      <c r="E613" s="8">
        <v>44414</v>
      </c>
      <c r="F613" s="8">
        <v>670</v>
      </c>
      <c r="G613" s="8">
        <v>2066</v>
      </c>
      <c r="H613" s="20"/>
      <c r="I613" s="20"/>
      <c r="J613" s="20"/>
      <c r="K613" s="8">
        <v>0</v>
      </c>
      <c r="L613" s="8"/>
      <c r="M613" s="8">
        <v>0</v>
      </c>
      <c r="N613" s="24">
        <f t="shared" si="128"/>
        <v>0</v>
      </c>
      <c r="O613" s="24">
        <v>0</v>
      </c>
      <c r="P613" s="454" t="e">
        <f t="shared" si="126"/>
        <v>#DIV/0!</v>
      </c>
      <c r="Q613" s="292">
        <f t="shared" si="127"/>
        <v>0</v>
      </c>
      <c r="R613" s="293">
        <f t="shared" si="124"/>
        <v>0</v>
      </c>
    </row>
    <row r="614" spans="1:18" ht="14.25" customHeight="1" hidden="1">
      <c r="A614" s="23"/>
      <c r="B614" s="23" t="s">
        <v>517</v>
      </c>
      <c r="C614" s="8" t="s">
        <v>732</v>
      </c>
      <c r="D614" s="8">
        <v>91232</v>
      </c>
      <c r="E614" s="8">
        <v>0</v>
      </c>
      <c r="F614" s="8"/>
      <c r="G614" s="8"/>
      <c r="H614" s="20"/>
      <c r="I614" s="20"/>
      <c r="J614" s="20"/>
      <c r="K614" s="8">
        <v>0</v>
      </c>
      <c r="L614" s="8"/>
      <c r="M614" s="8">
        <v>0</v>
      </c>
      <c r="N614" s="24">
        <f t="shared" si="128"/>
        <v>0</v>
      </c>
      <c r="O614" s="24">
        <v>0</v>
      </c>
      <c r="P614" s="454" t="e">
        <f t="shared" si="126"/>
        <v>#DIV/0!</v>
      </c>
      <c r="Q614" s="292">
        <f t="shared" si="127"/>
        <v>0</v>
      </c>
      <c r="R614" s="293">
        <f t="shared" si="124"/>
        <v>0</v>
      </c>
    </row>
    <row r="615" spans="1:18" ht="35.25" customHeight="1" hidden="1">
      <c r="A615" s="26" t="s">
        <v>733</v>
      </c>
      <c r="B615" s="26"/>
      <c r="C615" s="4" t="s">
        <v>734</v>
      </c>
      <c r="D615" s="7" t="e">
        <f>#REF!+D616</f>
        <v>#REF!</v>
      </c>
      <c r="E615" s="7" t="e">
        <f>#REF!+E616</f>
        <v>#REF!</v>
      </c>
      <c r="F615" s="7"/>
      <c r="G615" s="7"/>
      <c r="H615" s="20"/>
      <c r="I615" s="20"/>
      <c r="J615" s="20"/>
      <c r="K615" s="8">
        <v>0</v>
      </c>
      <c r="L615" s="8"/>
      <c r="M615" s="8">
        <v>0</v>
      </c>
      <c r="N615" s="24">
        <f t="shared" si="128"/>
        <v>0</v>
      </c>
      <c r="O615" s="24">
        <v>0</v>
      </c>
      <c r="P615" s="454" t="e">
        <f t="shared" si="126"/>
        <v>#DIV/0!</v>
      </c>
      <c r="Q615" s="292">
        <f t="shared" si="127"/>
        <v>0</v>
      </c>
      <c r="R615" s="293">
        <f t="shared" si="124"/>
        <v>0</v>
      </c>
    </row>
    <row r="616" spans="1:18" ht="13.5" customHeight="1">
      <c r="A616" s="23"/>
      <c r="B616" s="36" t="s">
        <v>485</v>
      </c>
      <c r="C616" s="11" t="s">
        <v>512</v>
      </c>
      <c r="D616" s="8">
        <v>200</v>
      </c>
      <c r="E616" s="8">
        <v>0</v>
      </c>
      <c r="F616" s="8"/>
      <c r="G616" s="8"/>
      <c r="H616" s="20">
        <v>275062</v>
      </c>
      <c r="I616" s="20">
        <v>0</v>
      </c>
      <c r="J616" s="20">
        <v>0</v>
      </c>
      <c r="K616" s="8">
        <v>218989</v>
      </c>
      <c r="L616" s="8">
        <v>221266</v>
      </c>
      <c r="M616" s="8">
        <v>0</v>
      </c>
      <c r="N616" s="24">
        <f t="shared" si="128"/>
        <v>221266</v>
      </c>
      <c r="O616" s="24">
        <v>0</v>
      </c>
      <c r="P616" s="454">
        <f t="shared" si="126"/>
        <v>1.0103977825370225</v>
      </c>
      <c r="Q616" s="292">
        <f t="shared" si="127"/>
        <v>0.006276109856813249</v>
      </c>
      <c r="R616" s="293">
        <f t="shared" si="124"/>
        <v>0.006747423753068674</v>
      </c>
    </row>
    <row r="617" spans="1:18" ht="13.5" customHeight="1">
      <c r="A617" s="23"/>
      <c r="B617" s="36" t="s">
        <v>487</v>
      </c>
      <c r="C617" s="11" t="s">
        <v>584</v>
      </c>
      <c r="D617" s="8"/>
      <c r="E617" s="8"/>
      <c r="F617" s="8"/>
      <c r="G617" s="8"/>
      <c r="H617" s="20">
        <v>85600</v>
      </c>
      <c r="I617" s="20">
        <v>0</v>
      </c>
      <c r="J617" s="20">
        <v>0</v>
      </c>
      <c r="K617" s="8">
        <v>76740</v>
      </c>
      <c r="L617" s="8">
        <v>74954</v>
      </c>
      <c r="M617" s="8">
        <v>0</v>
      </c>
      <c r="N617" s="24">
        <f t="shared" si="128"/>
        <v>74954</v>
      </c>
      <c r="O617" s="24">
        <v>0</v>
      </c>
      <c r="P617" s="454">
        <f t="shared" si="126"/>
        <v>0.9767266093302059</v>
      </c>
      <c r="Q617" s="292">
        <f t="shared" si="127"/>
        <v>0.0021993281416502596</v>
      </c>
      <c r="R617" s="293">
        <f t="shared" si="124"/>
        <v>0.002285694141836113</v>
      </c>
    </row>
    <row r="618" spans="1:18" ht="13.5" customHeight="1">
      <c r="A618" s="23"/>
      <c r="B618" s="36" t="s">
        <v>561</v>
      </c>
      <c r="C618" s="11" t="s">
        <v>562</v>
      </c>
      <c r="D618" s="8"/>
      <c r="E618" s="8"/>
      <c r="F618" s="8"/>
      <c r="G618" s="8"/>
      <c r="H618" s="20"/>
      <c r="I618" s="20"/>
      <c r="J618" s="20"/>
      <c r="K618" s="8">
        <v>0</v>
      </c>
      <c r="L618" s="8">
        <v>660</v>
      </c>
      <c r="M618" s="8">
        <v>0</v>
      </c>
      <c r="N618" s="24">
        <f t="shared" si="128"/>
        <v>660</v>
      </c>
      <c r="O618" s="24">
        <v>0</v>
      </c>
      <c r="P618" s="454">
        <v>0</v>
      </c>
      <c r="Q618" s="292">
        <f t="shared" si="127"/>
        <v>0</v>
      </c>
      <c r="R618" s="293">
        <f t="shared" si="124"/>
        <v>2.0126452672463573E-05</v>
      </c>
    </row>
    <row r="619" spans="1:18" ht="13.5" customHeight="1">
      <c r="A619" s="23"/>
      <c r="B619" s="36" t="s">
        <v>491</v>
      </c>
      <c r="C619" s="11" t="s">
        <v>586</v>
      </c>
      <c r="D619" s="8"/>
      <c r="E619" s="8"/>
      <c r="F619" s="8"/>
      <c r="G619" s="8"/>
      <c r="H619" s="20">
        <v>39410</v>
      </c>
      <c r="I619" s="20">
        <v>0</v>
      </c>
      <c r="J619" s="20">
        <v>0</v>
      </c>
      <c r="K619" s="8">
        <v>45090</v>
      </c>
      <c r="L619" s="8">
        <v>34763</v>
      </c>
      <c r="M619" s="8">
        <v>0</v>
      </c>
      <c r="N619" s="24">
        <f t="shared" si="128"/>
        <v>34763</v>
      </c>
      <c r="O619" s="24">
        <v>0</v>
      </c>
      <c r="P619" s="454">
        <f t="shared" si="126"/>
        <v>0.77096917276558</v>
      </c>
      <c r="Q619" s="292">
        <f t="shared" si="127"/>
        <v>0.0012922557454653402</v>
      </c>
      <c r="R619" s="293">
        <f t="shared" si="124"/>
        <v>0.0010600846579588655</v>
      </c>
    </row>
    <row r="620" spans="1:18" ht="13.5" customHeight="1">
      <c r="A620" s="23"/>
      <c r="B620" s="36" t="s">
        <v>497</v>
      </c>
      <c r="C620" s="11" t="s">
        <v>498</v>
      </c>
      <c r="D620" s="8"/>
      <c r="E620" s="8"/>
      <c r="F620" s="8"/>
      <c r="G620" s="8"/>
      <c r="H620" s="20">
        <v>15678</v>
      </c>
      <c r="I620" s="20">
        <v>0</v>
      </c>
      <c r="J620" s="20">
        <v>0</v>
      </c>
      <c r="K620" s="8">
        <v>25898</v>
      </c>
      <c r="L620" s="8">
        <v>27159</v>
      </c>
      <c r="M620" s="8">
        <v>0</v>
      </c>
      <c r="N620" s="24">
        <f t="shared" si="128"/>
        <v>27159</v>
      </c>
      <c r="O620" s="24">
        <v>0</v>
      </c>
      <c r="P620" s="454">
        <f t="shared" si="126"/>
        <v>1.0486910186114757</v>
      </c>
      <c r="Q620" s="292">
        <f t="shared" si="127"/>
        <v>0.0007422230937250251</v>
      </c>
      <c r="R620" s="293">
        <f t="shared" si="124"/>
        <v>0.000828203527471876</v>
      </c>
    </row>
    <row r="621" spans="1:18" ht="15.75" customHeight="1" hidden="1">
      <c r="A621" s="26" t="s">
        <v>735</v>
      </c>
      <c r="B621" s="38"/>
      <c r="C621" s="4" t="s">
        <v>736</v>
      </c>
      <c r="D621" s="7"/>
      <c r="E621" s="7">
        <f aca="true" t="shared" si="129" ref="E621:O621">E622</f>
        <v>94026</v>
      </c>
      <c r="F621" s="7">
        <f t="shared" si="129"/>
        <v>0</v>
      </c>
      <c r="G621" s="7">
        <f t="shared" si="129"/>
        <v>0</v>
      </c>
      <c r="H621" s="7">
        <v>0</v>
      </c>
      <c r="I621" s="7">
        <v>0</v>
      </c>
      <c r="J621" s="7">
        <v>0</v>
      </c>
      <c r="K621" s="8">
        <v>0</v>
      </c>
      <c r="L621" s="8"/>
      <c r="M621" s="7">
        <f t="shared" si="129"/>
        <v>0</v>
      </c>
      <c r="N621" s="24">
        <f t="shared" si="128"/>
        <v>0</v>
      </c>
      <c r="O621" s="19">
        <f t="shared" si="129"/>
        <v>0</v>
      </c>
      <c r="P621" s="454" t="e">
        <f t="shared" si="126"/>
        <v>#DIV/0!</v>
      </c>
      <c r="Q621" s="292">
        <f t="shared" si="127"/>
        <v>0</v>
      </c>
      <c r="R621" s="293">
        <f t="shared" si="124"/>
        <v>0</v>
      </c>
    </row>
    <row r="622" spans="1:18" ht="12.75" customHeight="1">
      <c r="A622" s="23"/>
      <c r="B622" s="36" t="s">
        <v>513</v>
      </c>
      <c r="C622" s="11" t="s">
        <v>514</v>
      </c>
      <c r="D622" s="8"/>
      <c r="E622" s="8">
        <v>94026</v>
      </c>
      <c r="F622" s="8">
        <v>0</v>
      </c>
      <c r="G622" s="8">
        <v>0</v>
      </c>
      <c r="H622" s="20">
        <v>4200</v>
      </c>
      <c r="I622" s="20">
        <v>0</v>
      </c>
      <c r="J622" s="20">
        <v>0</v>
      </c>
      <c r="K622" s="8">
        <v>4146</v>
      </c>
      <c r="L622" s="8">
        <v>6200</v>
      </c>
      <c r="M622" s="8">
        <v>0</v>
      </c>
      <c r="N622" s="24">
        <f t="shared" si="128"/>
        <v>6200</v>
      </c>
      <c r="O622" s="24">
        <v>0</v>
      </c>
      <c r="P622" s="454">
        <f t="shared" si="126"/>
        <v>1.4954172696575012</v>
      </c>
      <c r="Q622" s="292">
        <f t="shared" si="127"/>
        <v>0.00011882218497891551</v>
      </c>
      <c r="R622" s="293">
        <f t="shared" si="124"/>
        <v>0.00018906667662011236</v>
      </c>
    </row>
    <row r="623" spans="1:18" ht="12.75" customHeight="1">
      <c r="A623" s="23"/>
      <c r="B623" s="36" t="s">
        <v>515</v>
      </c>
      <c r="C623" s="11" t="s">
        <v>396</v>
      </c>
      <c r="D623" s="8"/>
      <c r="E623" s="8"/>
      <c r="F623" s="8"/>
      <c r="G623" s="8"/>
      <c r="H623" s="20"/>
      <c r="I623" s="20"/>
      <c r="J623" s="20"/>
      <c r="K623" s="8">
        <v>0</v>
      </c>
      <c r="L623" s="8">
        <v>0</v>
      </c>
      <c r="M623" s="8">
        <v>0</v>
      </c>
      <c r="N623" s="24">
        <f>L623</f>
        <v>0</v>
      </c>
      <c r="O623" s="24">
        <v>0</v>
      </c>
      <c r="P623" s="454">
        <v>0</v>
      </c>
      <c r="Q623" s="292">
        <f t="shared" si="127"/>
        <v>0</v>
      </c>
      <c r="R623" s="293">
        <f t="shared" si="124"/>
        <v>0</v>
      </c>
    </row>
    <row r="624" spans="1:18" ht="12.75" customHeight="1">
      <c r="A624" s="23"/>
      <c r="B624" s="36" t="s">
        <v>793</v>
      </c>
      <c r="C624" s="11" t="s">
        <v>396</v>
      </c>
      <c r="D624" s="8"/>
      <c r="E624" s="8"/>
      <c r="F624" s="8"/>
      <c r="G624" s="8"/>
      <c r="H624" s="20"/>
      <c r="I624" s="20"/>
      <c r="J624" s="20"/>
      <c r="K624" s="8">
        <v>0</v>
      </c>
      <c r="L624" s="8">
        <v>450000</v>
      </c>
      <c r="M624" s="8"/>
      <c r="N624" s="24">
        <f>L624</f>
        <v>450000</v>
      </c>
      <c r="O624" s="24"/>
      <c r="P624" s="454">
        <v>0</v>
      </c>
      <c r="Q624" s="292">
        <f t="shared" si="127"/>
        <v>0</v>
      </c>
      <c r="R624" s="293">
        <f t="shared" si="124"/>
        <v>0.013722581367588799</v>
      </c>
    </row>
    <row r="625" spans="1:18" ht="12.75" customHeight="1">
      <c r="A625" s="23"/>
      <c r="B625" s="36" t="s">
        <v>972</v>
      </c>
      <c r="C625" s="11" t="s">
        <v>396</v>
      </c>
      <c r="D625" s="8"/>
      <c r="E625" s="8"/>
      <c r="F625" s="8"/>
      <c r="G625" s="8"/>
      <c r="H625" s="20"/>
      <c r="I625" s="20"/>
      <c r="J625" s="20"/>
      <c r="K625" s="8">
        <v>159000</v>
      </c>
      <c r="L625" s="8">
        <v>161400</v>
      </c>
      <c r="M625" s="8"/>
      <c r="N625" s="24">
        <f>L625</f>
        <v>161400</v>
      </c>
      <c r="O625" s="24"/>
      <c r="P625" s="454">
        <f t="shared" si="126"/>
        <v>1.0150943396226415</v>
      </c>
      <c r="Q625" s="292">
        <f t="shared" si="127"/>
        <v>0.004556856587469263</v>
      </c>
      <c r="R625" s="293">
        <f t="shared" si="124"/>
        <v>0.004921832517175183</v>
      </c>
    </row>
    <row r="626" spans="1:18" ht="19.5" customHeight="1">
      <c r="A626" s="26" t="s">
        <v>735</v>
      </c>
      <c r="B626" s="38"/>
      <c r="C626" s="4" t="s">
        <v>736</v>
      </c>
      <c r="D626" s="7"/>
      <c r="E626" s="7"/>
      <c r="F626" s="7"/>
      <c r="G626" s="7"/>
      <c r="H626" s="7">
        <f>H627</f>
        <v>5083</v>
      </c>
      <c r="I626" s="7">
        <f>I627</f>
        <v>0</v>
      </c>
      <c r="J626" s="7">
        <f>J627</f>
        <v>0</v>
      </c>
      <c r="K626" s="7">
        <f>SUM(K627:K633)</f>
        <v>474598</v>
      </c>
      <c r="L626" s="7">
        <f>SUM(L627:L633)</f>
        <v>364160</v>
      </c>
      <c r="M626" s="7">
        <f>SUM(M627:M633)</f>
        <v>0</v>
      </c>
      <c r="N626" s="7">
        <f>SUM(N627:N633)</f>
        <v>364160</v>
      </c>
      <c r="O626" s="7">
        <f>SUM(O627:O633)</f>
        <v>0</v>
      </c>
      <c r="P626" s="454">
        <f t="shared" si="126"/>
        <v>0.7673020113864787</v>
      </c>
      <c r="Q626" s="292">
        <f t="shared" si="127"/>
        <v>0.013601729702514073</v>
      </c>
      <c r="R626" s="293">
        <f t="shared" si="124"/>
        <v>0.011104922735158083</v>
      </c>
    </row>
    <row r="627" spans="1:18" ht="15" customHeight="1">
      <c r="A627" s="23"/>
      <c r="B627" s="36" t="s">
        <v>437</v>
      </c>
      <c r="C627" s="11" t="s">
        <v>794</v>
      </c>
      <c r="D627" s="8"/>
      <c r="E627" s="8"/>
      <c r="F627" s="8"/>
      <c r="G627" s="8"/>
      <c r="H627" s="20">
        <v>5083</v>
      </c>
      <c r="I627" s="20">
        <v>0</v>
      </c>
      <c r="J627" s="20">
        <v>0</v>
      </c>
      <c r="K627" s="8">
        <v>6000</v>
      </c>
      <c r="L627" s="20">
        <v>6000</v>
      </c>
      <c r="M627" s="8">
        <v>0</v>
      </c>
      <c r="N627" s="24">
        <f>L627</f>
        <v>6000</v>
      </c>
      <c r="O627" s="24">
        <v>0</v>
      </c>
      <c r="P627" s="454">
        <f t="shared" si="126"/>
        <v>1</v>
      </c>
      <c r="Q627" s="292">
        <f t="shared" si="127"/>
        <v>0.0001719568523573307</v>
      </c>
      <c r="R627" s="293">
        <f>L627/$L$662</f>
        <v>0.00018296775156785065</v>
      </c>
    </row>
    <row r="628" spans="1:18" ht="15" customHeight="1">
      <c r="A628" s="23"/>
      <c r="B628" s="36" t="s">
        <v>795</v>
      </c>
      <c r="C628" s="11" t="s">
        <v>794</v>
      </c>
      <c r="D628" s="8"/>
      <c r="E628" s="8"/>
      <c r="F628" s="8"/>
      <c r="G628" s="8"/>
      <c r="H628" s="20">
        <v>5083</v>
      </c>
      <c r="I628" s="20">
        <v>0</v>
      </c>
      <c r="J628" s="20">
        <v>0</v>
      </c>
      <c r="K628" s="8">
        <v>314567</v>
      </c>
      <c r="L628" s="20">
        <v>233240</v>
      </c>
      <c r="M628" s="8">
        <v>0</v>
      </c>
      <c r="N628" s="24">
        <f aca="true" t="shared" si="130" ref="N628:N633">L628</f>
        <v>233240</v>
      </c>
      <c r="O628" s="24">
        <v>0</v>
      </c>
      <c r="P628" s="454">
        <f t="shared" si="126"/>
        <v>0.7414636627491122</v>
      </c>
      <c r="Q628" s="292">
        <f aca="true" t="shared" si="131" ref="Q628:Q633">K628/$K$662</f>
        <v>0.00901532519591474</v>
      </c>
      <c r="R628" s="293">
        <f aca="true" t="shared" si="132" ref="R628:R633">L628/$L$662</f>
        <v>0.007112566395947582</v>
      </c>
    </row>
    <row r="629" spans="1:18" ht="15" customHeight="1">
      <c r="A629" s="23"/>
      <c r="B629" s="36" t="s">
        <v>796</v>
      </c>
      <c r="C629" s="11" t="s">
        <v>794</v>
      </c>
      <c r="D629" s="8"/>
      <c r="E629" s="8"/>
      <c r="F629" s="8"/>
      <c r="G629" s="8"/>
      <c r="H629" s="20">
        <v>5083</v>
      </c>
      <c r="I629" s="20">
        <v>0</v>
      </c>
      <c r="J629" s="20">
        <v>0</v>
      </c>
      <c r="K629" s="8">
        <v>148031</v>
      </c>
      <c r="L629" s="20">
        <v>109760</v>
      </c>
      <c r="M629" s="8">
        <v>0</v>
      </c>
      <c r="N629" s="24">
        <f t="shared" si="130"/>
        <v>109760</v>
      </c>
      <c r="O629" s="24">
        <v>0</v>
      </c>
      <c r="P629" s="454">
        <f t="shared" si="126"/>
        <v>0.7414663144881816</v>
      </c>
      <c r="Q629" s="292">
        <f t="shared" si="131"/>
        <v>0.0042424908018846704</v>
      </c>
      <c r="R629" s="293">
        <f t="shared" si="132"/>
        <v>0.003347090068681215</v>
      </c>
    </row>
    <row r="630" spans="1:18" ht="15" customHeight="1">
      <c r="A630" s="23"/>
      <c r="B630" s="36" t="s">
        <v>779</v>
      </c>
      <c r="C630" s="11" t="s">
        <v>257</v>
      </c>
      <c r="D630" s="8"/>
      <c r="E630" s="8"/>
      <c r="F630" s="8"/>
      <c r="G630" s="8"/>
      <c r="H630" s="20">
        <v>5083</v>
      </c>
      <c r="I630" s="20">
        <v>0</v>
      </c>
      <c r="J630" s="20">
        <v>0</v>
      </c>
      <c r="K630" s="8">
        <v>3264</v>
      </c>
      <c r="L630" s="20">
        <v>2856</v>
      </c>
      <c r="M630" s="8">
        <v>0</v>
      </c>
      <c r="N630" s="24">
        <f t="shared" si="130"/>
        <v>2856</v>
      </c>
      <c r="O630" s="24">
        <v>0</v>
      </c>
      <c r="P630" s="454">
        <f t="shared" si="126"/>
        <v>0.875</v>
      </c>
      <c r="Q630" s="292">
        <f t="shared" si="131"/>
        <v>9.35445276823879E-05</v>
      </c>
      <c r="R630" s="293">
        <f t="shared" si="132"/>
        <v>8.709264974629691E-05</v>
      </c>
    </row>
    <row r="631" spans="1:18" ht="15" customHeight="1">
      <c r="A631" s="23"/>
      <c r="B631" s="36" t="s">
        <v>780</v>
      </c>
      <c r="C631" s="11" t="s">
        <v>257</v>
      </c>
      <c r="D631" s="8"/>
      <c r="E631" s="8"/>
      <c r="F631" s="8"/>
      <c r="G631" s="8"/>
      <c r="H631" s="20">
        <v>5083</v>
      </c>
      <c r="I631" s="20">
        <v>0</v>
      </c>
      <c r="J631" s="20">
        <v>0</v>
      </c>
      <c r="K631" s="8">
        <v>1536</v>
      </c>
      <c r="L631" s="20">
        <v>1344</v>
      </c>
      <c r="M631" s="8">
        <v>0</v>
      </c>
      <c r="N631" s="24">
        <f t="shared" si="130"/>
        <v>1344</v>
      </c>
      <c r="O631" s="24">
        <v>0</v>
      </c>
      <c r="P631" s="454">
        <f t="shared" si="126"/>
        <v>0.875</v>
      </c>
      <c r="Q631" s="292">
        <f t="shared" si="131"/>
        <v>4.402095420347666E-05</v>
      </c>
      <c r="R631" s="293">
        <f t="shared" si="132"/>
        <v>4.098477635119855E-05</v>
      </c>
    </row>
    <row r="632" spans="1:18" ht="15" customHeight="1">
      <c r="A632" s="23"/>
      <c r="B632" s="36" t="s">
        <v>782</v>
      </c>
      <c r="C632" s="11" t="s">
        <v>586</v>
      </c>
      <c r="D632" s="8"/>
      <c r="E632" s="8"/>
      <c r="F632" s="8"/>
      <c r="G632" s="8"/>
      <c r="H632" s="20">
        <v>5083</v>
      </c>
      <c r="I632" s="20">
        <v>0</v>
      </c>
      <c r="J632" s="20">
        <v>0</v>
      </c>
      <c r="K632" s="8">
        <v>816</v>
      </c>
      <c r="L632" s="20">
        <v>7453</v>
      </c>
      <c r="M632" s="8">
        <v>0</v>
      </c>
      <c r="N632" s="24">
        <f t="shared" si="130"/>
        <v>7453</v>
      </c>
      <c r="O632" s="24">
        <v>0</v>
      </c>
      <c r="P632" s="454">
        <f t="shared" si="126"/>
        <v>9.133578431372548</v>
      </c>
      <c r="Q632" s="292">
        <f t="shared" si="131"/>
        <v>2.3386131920596974E-05</v>
      </c>
      <c r="R632" s="293">
        <f t="shared" si="132"/>
        <v>0.00022727644207253184</v>
      </c>
    </row>
    <row r="633" spans="1:18" ht="15" customHeight="1">
      <c r="A633" s="23"/>
      <c r="B633" s="36" t="s">
        <v>783</v>
      </c>
      <c r="C633" s="11" t="s">
        <v>586</v>
      </c>
      <c r="D633" s="8"/>
      <c r="E633" s="8"/>
      <c r="F633" s="8"/>
      <c r="G633" s="8"/>
      <c r="H633" s="20">
        <v>5083</v>
      </c>
      <c r="I633" s="20">
        <v>0</v>
      </c>
      <c r="J633" s="20">
        <v>0</v>
      </c>
      <c r="K633" s="8">
        <v>384</v>
      </c>
      <c r="L633" s="20">
        <v>3507</v>
      </c>
      <c r="M633" s="8">
        <v>0</v>
      </c>
      <c r="N633" s="24">
        <f t="shared" si="130"/>
        <v>3507</v>
      </c>
      <c r="O633" s="24">
        <v>0</v>
      </c>
      <c r="P633" s="454">
        <f t="shared" si="126"/>
        <v>9.1328125</v>
      </c>
      <c r="Q633" s="292">
        <f t="shared" si="131"/>
        <v>1.1005238550869165E-05</v>
      </c>
      <c r="R633" s="293">
        <f t="shared" si="132"/>
        <v>0.00010694465079140872</v>
      </c>
    </row>
    <row r="634" spans="1:18" ht="23.25" customHeight="1">
      <c r="A634" s="26" t="s">
        <v>737</v>
      </c>
      <c r="B634" s="26"/>
      <c r="C634" s="4" t="s">
        <v>738</v>
      </c>
      <c r="D634" s="7">
        <f>D635+D639</f>
        <v>24996</v>
      </c>
      <c r="E634" s="7">
        <f>E635+E639+E640+E641+E636+E637</f>
        <v>24996</v>
      </c>
      <c r="F634" s="7">
        <f>F635+F639+F640+F641+F636+F637</f>
        <v>325</v>
      </c>
      <c r="G634" s="7">
        <f>G635+G639+G640+G641+G636+G637</f>
        <v>325</v>
      </c>
      <c r="H634" s="7">
        <f>H635+H636+H637+H639+H640</f>
        <v>9000</v>
      </c>
      <c r="I634" s="7">
        <f>I635+I636+I637+I639+I640</f>
        <v>0</v>
      </c>
      <c r="J634" s="7">
        <f>J635+J636+J637+J639+J640</f>
        <v>0</v>
      </c>
      <c r="K634" s="7">
        <f>SUM(K635:K640)</f>
        <v>3900</v>
      </c>
      <c r="L634" s="7">
        <f>L635+L636+L637+L638+L639+L640</f>
        <v>3900</v>
      </c>
      <c r="M634" s="7">
        <f>M635+M636+M637+M638+M639+M640+M641</f>
        <v>0</v>
      </c>
      <c r="N634" s="19">
        <f>N635+N636+N637+N638+N639+N640+N641</f>
        <v>2400</v>
      </c>
      <c r="O634" s="19">
        <f>O635+O636+O637+O638+O639</f>
        <v>1500</v>
      </c>
      <c r="P634" s="454">
        <f t="shared" si="126"/>
        <v>1</v>
      </c>
      <c r="Q634" s="292">
        <f aca="true" t="shared" si="133" ref="Q634:Q644">K634/$K$662</f>
        <v>0.00011177195403226496</v>
      </c>
      <c r="R634" s="293">
        <f aca="true" t="shared" si="134" ref="R634:R644">L634/$L$662</f>
        <v>0.00011892903851910293</v>
      </c>
    </row>
    <row r="635" spans="1:18" ht="22.5" customHeight="1">
      <c r="A635" s="23"/>
      <c r="B635" s="23" t="s">
        <v>538</v>
      </c>
      <c r="C635" s="11" t="s">
        <v>797</v>
      </c>
      <c r="D635" s="8">
        <v>16664</v>
      </c>
      <c r="E635" s="8">
        <v>16664</v>
      </c>
      <c r="F635" s="8">
        <v>0</v>
      </c>
      <c r="G635" s="8">
        <v>0</v>
      </c>
      <c r="H635" s="20">
        <v>6000</v>
      </c>
      <c r="I635" s="20">
        <v>0</v>
      </c>
      <c r="J635" s="20">
        <v>0</v>
      </c>
      <c r="K635" s="8">
        <v>1500</v>
      </c>
      <c r="L635" s="8">
        <v>1500</v>
      </c>
      <c r="M635" s="8">
        <v>0</v>
      </c>
      <c r="N635" s="24">
        <v>0</v>
      </c>
      <c r="O635" s="24">
        <f>L635</f>
        <v>1500</v>
      </c>
      <c r="P635" s="454">
        <f t="shared" si="126"/>
        <v>1</v>
      </c>
      <c r="Q635" s="292">
        <f t="shared" si="133"/>
        <v>4.2989213089332676E-05</v>
      </c>
      <c r="R635" s="293">
        <f t="shared" si="134"/>
        <v>4.574193789196266E-05</v>
      </c>
    </row>
    <row r="636" spans="1:18" ht="15" customHeight="1">
      <c r="A636" s="23"/>
      <c r="B636" s="23" t="s">
        <v>508</v>
      </c>
      <c r="C636" s="11" t="s">
        <v>740</v>
      </c>
      <c r="D636" s="8"/>
      <c r="E636" s="8">
        <v>286</v>
      </c>
      <c r="F636" s="8">
        <v>286</v>
      </c>
      <c r="G636" s="8">
        <v>0</v>
      </c>
      <c r="H636" s="20">
        <v>324</v>
      </c>
      <c r="I636" s="20">
        <v>0</v>
      </c>
      <c r="J636" s="20">
        <v>0</v>
      </c>
      <c r="K636" s="8">
        <v>0</v>
      </c>
      <c r="L636" s="8">
        <v>0</v>
      </c>
      <c r="M636" s="8">
        <v>0</v>
      </c>
      <c r="N636" s="24">
        <f>L636</f>
        <v>0</v>
      </c>
      <c r="O636" s="24">
        <v>0</v>
      </c>
      <c r="P636" s="454">
        <v>0</v>
      </c>
      <c r="Q636" s="292">
        <f t="shared" si="133"/>
        <v>0</v>
      </c>
      <c r="R636" s="293">
        <f t="shared" si="134"/>
        <v>0</v>
      </c>
    </row>
    <row r="637" spans="1:18" ht="14.25" customHeight="1">
      <c r="A637" s="23"/>
      <c r="B637" s="23" t="s">
        <v>483</v>
      </c>
      <c r="C637" s="11" t="s">
        <v>718</v>
      </c>
      <c r="D637" s="8"/>
      <c r="E637" s="8">
        <v>39</v>
      </c>
      <c r="F637" s="8">
        <v>39</v>
      </c>
      <c r="G637" s="8">
        <v>0</v>
      </c>
      <c r="H637" s="20">
        <v>44</v>
      </c>
      <c r="I637" s="20">
        <v>0</v>
      </c>
      <c r="J637" s="20">
        <v>0</v>
      </c>
      <c r="K637" s="8">
        <v>0</v>
      </c>
      <c r="L637" s="8">
        <v>0</v>
      </c>
      <c r="M637" s="8">
        <v>0</v>
      </c>
      <c r="N637" s="24">
        <f>L637</f>
        <v>0</v>
      </c>
      <c r="O637" s="24">
        <v>0</v>
      </c>
      <c r="P637" s="454">
        <v>0</v>
      </c>
      <c r="Q637" s="292">
        <f t="shared" si="133"/>
        <v>0</v>
      </c>
      <c r="R637" s="293">
        <f t="shared" si="134"/>
        <v>0</v>
      </c>
    </row>
    <row r="638" spans="1:18" ht="14.25" customHeight="1">
      <c r="A638" s="23"/>
      <c r="B638" s="23" t="s">
        <v>256</v>
      </c>
      <c r="C638" s="11" t="s">
        <v>257</v>
      </c>
      <c r="D638" s="8"/>
      <c r="E638" s="8"/>
      <c r="F638" s="8"/>
      <c r="G638" s="8"/>
      <c r="H638" s="20"/>
      <c r="I638" s="20"/>
      <c r="J638" s="20"/>
      <c r="K638" s="8">
        <v>1400</v>
      </c>
      <c r="L638" s="8">
        <v>1400</v>
      </c>
      <c r="M638" s="8">
        <v>0</v>
      </c>
      <c r="N638" s="24">
        <f>L638</f>
        <v>1400</v>
      </c>
      <c r="O638" s="24">
        <v>0</v>
      </c>
      <c r="P638" s="454">
        <f t="shared" si="126"/>
        <v>1</v>
      </c>
      <c r="Q638" s="292">
        <f t="shared" si="133"/>
        <v>4.012326555004383E-05</v>
      </c>
      <c r="R638" s="293">
        <f t="shared" si="134"/>
        <v>4.269247536583182E-05</v>
      </c>
    </row>
    <row r="639" spans="1:18" ht="12.75" customHeight="1">
      <c r="A639" s="23"/>
      <c r="B639" s="23" t="s">
        <v>485</v>
      </c>
      <c r="C639" s="11" t="s">
        <v>512</v>
      </c>
      <c r="D639" s="8">
        <v>8332</v>
      </c>
      <c r="E639" s="8">
        <v>3107</v>
      </c>
      <c r="F639" s="8">
        <v>0</v>
      </c>
      <c r="G639" s="8">
        <v>325</v>
      </c>
      <c r="H639" s="20">
        <v>832</v>
      </c>
      <c r="I639" s="20">
        <v>0</v>
      </c>
      <c r="J639" s="20">
        <v>0</v>
      </c>
      <c r="K639" s="8">
        <v>600</v>
      </c>
      <c r="L639" s="8">
        <v>600</v>
      </c>
      <c r="M639" s="8">
        <v>0</v>
      </c>
      <c r="N639" s="24">
        <f>L639</f>
        <v>600</v>
      </c>
      <c r="O639" s="24">
        <v>0</v>
      </c>
      <c r="P639" s="454">
        <f t="shared" si="126"/>
        <v>1</v>
      </c>
      <c r="Q639" s="292">
        <f t="shared" si="133"/>
        <v>1.719568523573307E-05</v>
      </c>
      <c r="R639" s="293">
        <f t="shared" si="134"/>
        <v>1.8296775156785066E-05</v>
      </c>
    </row>
    <row r="640" spans="1:18" ht="13.5" customHeight="1">
      <c r="A640" s="23"/>
      <c r="B640" s="23" t="s">
        <v>491</v>
      </c>
      <c r="C640" s="11" t="s">
        <v>492</v>
      </c>
      <c r="D640" s="8"/>
      <c r="E640" s="8">
        <v>2500</v>
      </c>
      <c r="F640" s="8">
        <v>0</v>
      </c>
      <c r="G640" s="8">
        <v>0</v>
      </c>
      <c r="H640" s="20">
        <v>1800</v>
      </c>
      <c r="I640" s="20">
        <v>0</v>
      </c>
      <c r="J640" s="20">
        <v>0</v>
      </c>
      <c r="K640" s="8">
        <v>400</v>
      </c>
      <c r="L640" s="8">
        <v>400</v>
      </c>
      <c r="M640" s="8">
        <v>0</v>
      </c>
      <c r="N640" s="24">
        <f>L640</f>
        <v>400</v>
      </c>
      <c r="O640" s="24">
        <v>0</v>
      </c>
      <c r="P640" s="454">
        <f t="shared" si="126"/>
        <v>1</v>
      </c>
      <c r="Q640" s="292">
        <f t="shared" si="133"/>
        <v>1.1463790157155379E-05</v>
      </c>
      <c r="R640" s="293">
        <f t="shared" si="134"/>
        <v>1.2197850104523378E-05</v>
      </c>
    </row>
    <row r="641" spans="1:18" ht="15.75" customHeight="1" hidden="1">
      <c r="A641" s="23"/>
      <c r="B641" s="23" t="s">
        <v>473</v>
      </c>
      <c r="C641" s="11" t="s">
        <v>741</v>
      </c>
      <c r="D641" s="8"/>
      <c r="E641" s="8">
        <v>2400</v>
      </c>
      <c r="F641" s="8">
        <v>0</v>
      </c>
      <c r="G641" s="8">
        <v>0</v>
      </c>
      <c r="H641" s="8"/>
      <c r="I641" s="8"/>
      <c r="J641" s="8"/>
      <c r="K641" s="8"/>
      <c r="L641" s="8"/>
      <c r="M641" s="8"/>
      <c r="N641" s="24"/>
      <c r="O641" s="24"/>
      <c r="P641" s="454" t="e">
        <f t="shared" si="126"/>
        <v>#DIV/0!</v>
      </c>
      <c r="Q641" s="292">
        <f t="shared" si="133"/>
        <v>0</v>
      </c>
      <c r="R641" s="293">
        <f t="shared" si="134"/>
        <v>0</v>
      </c>
    </row>
    <row r="642" spans="1:18" ht="13.5" customHeight="1">
      <c r="A642" s="26" t="s">
        <v>742</v>
      </c>
      <c r="B642" s="26"/>
      <c r="C642" s="4" t="s">
        <v>556</v>
      </c>
      <c r="D642" s="7"/>
      <c r="E642" s="7">
        <f aca="true" t="shared" si="135" ref="E642:O642">E643</f>
        <v>0</v>
      </c>
      <c r="F642" s="7">
        <f t="shared" si="135"/>
        <v>27582</v>
      </c>
      <c r="G642" s="7">
        <f t="shared" si="135"/>
        <v>0</v>
      </c>
      <c r="H642" s="7">
        <f>H643</f>
        <v>12118</v>
      </c>
      <c r="I642" s="7">
        <f>I643</f>
        <v>0</v>
      </c>
      <c r="J642" s="7">
        <f>J643</f>
        <v>0</v>
      </c>
      <c r="K642" s="7">
        <f>K643</f>
        <v>25543</v>
      </c>
      <c r="L642" s="7">
        <f>L643</f>
        <v>0</v>
      </c>
      <c r="M642" s="7">
        <f t="shared" si="135"/>
        <v>0</v>
      </c>
      <c r="N642" s="19">
        <f t="shared" si="135"/>
        <v>0</v>
      </c>
      <c r="O642" s="19">
        <f t="shared" si="135"/>
        <v>0</v>
      </c>
      <c r="P642" s="454">
        <f t="shared" si="126"/>
        <v>0</v>
      </c>
      <c r="Q642" s="292">
        <f t="shared" si="133"/>
        <v>0.0007320489799605497</v>
      </c>
      <c r="R642" s="293">
        <f t="shared" si="134"/>
        <v>0</v>
      </c>
    </row>
    <row r="643" spans="1:18" ht="12.75" customHeight="1">
      <c r="A643" s="23"/>
      <c r="B643" s="23" t="s">
        <v>497</v>
      </c>
      <c r="C643" s="11" t="s">
        <v>498</v>
      </c>
      <c r="D643" s="8"/>
      <c r="E643" s="8">
        <v>0</v>
      </c>
      <c r="F643" s="8">
        <v>27582</v>
      </c>
      <c r="G643" s="8">
        <v>0</v>
      </c>
      <c r="H643" s="24">
        <v>12118</v>
      </c>
      <c r="I643" s="24">
        <v>0</v>
      </c>
      <c r="J643" s="24">
        <v>0</v>
      </c>
      <c r="K643" s="8">
        <v>25543</v>
      </c>
      <c r="L643" s="8">
        <v>0</v>
      </c>
      <c r="M643" s="8">
        <v>0</v>
      </c>
      <c r="N643" s="24">
        <f>L643</f>
        <v>0</v>
      </c>
      <c r="O643" s="24">
        <v>0</v>
      </c>
      <c r="P643" s="454">
        <f t="shared" si="126"/>
        <v>0</v>
      </c>
      <c r="Q643" s="292">
        <f t="shared" si="133"/>
        <v>0.0007320489799605497</v>
      </c>
      <c r="R643" s="293">
        <f t="shared" si="134"/>
        <v>0</v>
      </c>
    </row>
    <row r="644" spans="1:34" s="442" customFormat="1" ht="24" customHeight="1">
      <c r="A644" s="450" t="s">
        <v>743</v>
      </c>
      <c r="B644" s="450"/>
      <c r="C644" s="449" t="s">
        <v>744</v>
      </c>
      <c r="D644" s="444">
        <f aca="true" t="shared" si="136" ref="D644:K644">D645+D648</f>
        <v>5000</v>
      </c>
      <c r="E644" s="444">
        <f t="shared" si="136"/>
        <v>45000</v>
      </c>
      <c r="F644" s="444">
        <f t="shared" si="136"/>
        <v>0</v>
      </c>
      <c r="G644" s="444">
        <f t="shared" si="136"/>
        <v>0</v>
      </c>
      <c r="H644" s="444" t="e">
        <f t="shared" si="136"/>
        <v>#REF!</v>
      </c>
      <c r="I644" s="444" t="e">
        <f t="shared" si="136"/>
        <v>#REF!</v>
      </c>
      <c r="J644" s="444" t="e">
        <f t="shared" si="136"/>
        <v>#REF!</v>
      </c>
      <c r="K644" s="444">
        <f t="shared" si="136"/>
        <v>39900</v>
      </c>
      <c r="L644" s="444">
        <f>L645+L648</f>
        <v>105100</v>
      </c>
      <c r="M644" s="444">
        <f>M645+M648</f>
        <v>0</v>
      </c>
      <c r="N644" s="444">
        <f>N645+N648</f>
        <v>72100</v>
      </c>
      <c r="O644" s="444">
        <f>O645+O648</f>
        <v>33000</v>
      </c>
      <c r="P644" s="440">
        <f t="shared" si="126"/>
        <v>2.6340852130325816</v>
      </c>
      <c r="Q644" s="440">
        <f t="shared" si="133"/>
        <v>0.0011435130681762492</v>
      </c>
      <c r="R644" s="441">
        <f t="shared" si="134"/>
        <v>0.0032049851149635175</v>
      </c>
      <c r="S644" s="459"/>
      <c r="T644" s="459"/>
      <c r="U644" s="459"/>
      <c r="V644" s="459"/>
      <c r="W644" s="459"/>
      <c r="X644" s="459"/>
      <c r="Y644" s="459"/>
      <c r="Z644" s="459"/>
      <c r="AA644" s="459"/>
      <c r="AB644" s="459"/>
      <c r="AC644" s="459"/>
      <c r="AD644" s="459"/>
      <c r="AE644" s="459"/>
      <c r="AF644" s="459"/>
      <c r="AG644" s="459"/>
      <c r="AH644" s="459"/>
    </row>
    <row r="645" spans="1:18" ht="15" customHeight="1">
      <c r="A645" s="26" t="s">
        <v>745</v>
      </c>
      <c r="B645" s="26"/>
      <c r="C645" s="4" t="s">
        <v>746</v>
      </c>
      <c r="D645" s="7">
        <f aca="true" t="shared" si="137" ref="D645:J645">D646</f>
        <v>0</v>
      </c>
      <c r="E645" s="7">
        <f t="shared" si="137"/>
        <v>30000</v>
      </c>
      <c r="F645" s="7">
        <f t="shared" si="137"/>
        <v>0</v>
      </c>
      <c r="G645" s="7">
        <f t="shared" si="137"/>
        <v>0</v>
      </c>
      <c r="H645" s="7">
        <f t="shared" si="137"/>
        <v>30000</v>
      </c>
      <c r="I645" s="7">
        <f t="shared" si="137"/>
        <v>0</v>
      </c>
      <c r="J645" s="7">
        <f t="shared" si="137"/>
        <v>0</v>
      </c>
      <c r="K645" s="7">
        <f>K646+K647</f>
        <v>33000</v>
      </c>
      <c r="L645" s="7">
        <f>L646+L647</f>
        <v>98000</v>
      </c>
      <c r="M645" s="7">
        <f>M646</f>
        <v>0</v>
      </c>
      <c r="N645" s="19">
        <f>N646+N647</f>
        <v>65000</v>
      </c>
      <c r="O645" s="19">
        <f>O646</f>
        <v>33000</v>
      </c>
      <c r="P645" s="454">
        <f t="shared" si="126"/>
        <v>2.9696969696969697</v>
      </c>
      <c r="Q645" s="292">
        <f aca="true" t="shared" si="138" ref="Q645:Q662">K645/$K$662</f>
        <v>0.0009457626879653188</v>
      </c>
      <c r="R645" s="293">
        <f aca="true" t="shared" si="139" ref="R645:R662">L645/$L$662</f>
        <v>0.0029884732756082274</v>
      </c>
    </row>
    <row r="646" spans="1:18" ht="22.5" customHeight="1">
      <c r="A646" s="23"/>
      <c r="B646" s="23" t="s">
        <v>538</v>
      </c>
      <c r="C646" s="11" t="s">
        <v>747</v>
      </c>
      <c r="D646" s="8">
        <v>0</v>
      </c>
      <c r="E646" s="8">
        <v>30000</v>
      </c>
      <c r="F646" s="8">
        <v>0</v>
      </c>
      <c r="G646" s="8">
        <v>0</v>
      </c>
      <c r="H646" s="8">
        <v>30000</v>
      </c>
      <c r="I646" s="8">
        <v>0</v>
      </c>
      <c r="J646" s="8">
        <v>0</v>
      </c>
      <c r="K646" s="8">
        <v>33000</v>
      </c>
      <c r="L646" s="8">
        <v>33000</v>
      </c>
      <c r="M646" s="8">
        <v>0</v>
      </c>
      <c r="N646" s="24">
        <v>0</v>
      </c>
      <c r="O646" s="24">
        <f>L646</f>
        <v>33000</v>
      </c>
      <c r="P646" s="454">
        <f t="shared" si="126"/>
        <v>1</v>
      </c>
      <c r="Q646" s="292">
        <f t="shared" si="138"/>
        <v>0.0009457626879653188</v>
      </c>
      <c r="R646" s="293">
        <f t="shared" si="139"/>
        <v>0.0010063226336231787</v>
      </c>
    </row>
    <row r="647" spans="1:18" ht="24" customHeight="1">
      <c r="A647" s="23"/>
      <c r="B647" s="23" t="s">
        <v>515</v>
      </c>
      <c r="C647" s="11" t="s">
        <v>203</v>
      </c>
      <c r="D647" s="8"/>
      <c r="E647" s="8"/>
      <c r="F647" s="8"/>
      <c r="G647" s="8"/>
      <c r="H647" s="8"/>
      <c r="I647" s="8"/>
      <c r="J647" s="8"/>
      <c r="K647" s="8">
        <v>0</v>
      </c>
      <c r="L647" s="8">
        <v>65000</v>
      </c>
      <c r="M647" s="8">
        <v>0</v>
      </c>
      <c r="N647" s="24">
        <f>L647</f>
        <v>65000</v>
      </c>
      <c r="O647" s="24">
        <v>0</v>
      </c>
      <c r="P647" s="454">
        <v>0</v>
      </c>
      <c r="Q647" s="292">
        <f t="shared" si="138"/>
        <v>0</v>
      </c>
      <c r="R647" s="293">
        <f t="shared" si="139"/>
        <v>0.0019821506419850487</v>
      </c>
    </row>
    <row r="648" spans="1:18" ht="15" customHeight="1">
      <c r="A648" s="26" t="s">
        <v>748</v>
      </c>
      <c r="B648" s="23"/>
      <c r="C648" s="4" t="s">
        <v>556</v>
      </c>
      <c r="D648" s="7">
        <f>D653</f>
        <v>5000</v>
      </c>
      <c r="E648" s="7">
        <f>E651+E652+E649</f>
        <v>15000</v>
      </c>
      <c r="F648" s="7">
        <f>F651+F652+F649</f>
        <v>0</v>
      </c>
      <c r="G648" s="7">
        <f>G651+G652+G649</f>
        <v>0</v>
      </c>
      <c r="H648" s="7" t="e">
        <f>H651+H652+#REF!</f>
        <v>#REF!</v>
      </c>
      <c r="I648" s="7" t="e">
        <f>I651+I652+#REF!</f>
        <v>#REF!</v>
      </c>
      <c r="J648" s="7" t="e">
        <f>J651+J652+#REF!</f>
        <v>#REF!</v>
      </c>
      <c r="K648" s="7">
        <f>SUM(K651:K652)</f>
        <v>6900</v>
      </c>
      <c r="L648" s="7">
        <f>SUM(L651:L652)</f>
        <v>7100</v>
      </c>
      <c r="M648" s="7">
        <f>SUM(M651:M652)</f>
        <v>0</v>
      </c>
      <c r="N648" s="7">
        <f>SUM(N651:N652)</f>
        <v>7100</v>
      </c>
      <c r="O648" s="7">
        <f>SUM(O651:O652)</f>
        <v>0</v>
      </c>
      <c r="P648" s="454">
        <f t="shared" si="126"/>
        <v>1.0289855072463767</v>
      </c>
      <c r="Q648" s="292">
        <f t="shared" si="138"/>
        <v>0.0001977503802109303</v>
      </c>
      <c r="R648" s="293">
        <f t="shared" si="139"/>
        <v>0.00021651183935528996</v>
      </c>
    </row>
    <row r="649" spans="1:18" ht="14.25" customHeight="1" hidden="1">
      <c r="A649" s="26"/>
      <c r="B649" s="23"/>
      <c r="C649" s="29" t="s">
        <v>523</v>
      </c>
      <c r="D649" s="20"/>
      <c r="E649" s="20">
        <v>240</v>
      </c>
      <c r="F649" s="20">
        <v>0</v>
      </c>
      <c r="G649" s="20">
        <v>0</v>
      </c>
      <c r="H649" s="8"/>
      <c r="I649" s="8"/>
      <c r="J649" s="8"/>
      <c r="K649" s="8"/>
      <c r="L649" s="8"/>
      <c r="M649" s="20">
        <v>0</v>
      </c>
      <c r="N649" s="21">
        <f>H649</f>
        <v>0</v>
      </c>
      <c r="O649" s="21">
        <v>0</v>
      </c>
      <c r="P649" s="454" t="e">
        <f t="shared" si="126"/>
        <v>#DIV/0!</v>
      </c>
      <c r="Q649" s="292">
        <f t="shared" si="138"/>
        <v>0</v>
      </c>
      <c r="R649" s="293">
        <f t="shared" si="139"/>
        <v>0</v>
      </c>
    </row>
    <row r="650" spans="1:18" ht="28.5" customHeight="1" hidden="1">
      <c r="A650" s="26"/>
      <c r="B650" s="23" t="s">
        <v>538</v>
      </c>
      <c r="C650" s="11" t="s">
        <v>739</v>
      </c>
      <c r="D650" s="20"/>
      <c r="E650" s="20"/>
      <c r="F650" s="20"/>
      <c r="G650" s="20"/>
      <c r="H650" s="8">
        <v>0</v>
      </c>
      <c r="I650" s="8">
        <v>0</v>
      </c>
      <c r="J650" s="8">
        <v>0</v>
      </c>
      <c r="K650" s="8">
        <v>0</v>
      </c>
      <c r="L650" s="8"/>
      <c r="M650" s="20">
        <v>0</v>
      </c>
      <c r="N650" s="21">
        <v>0</v>
      </c>
      <c r="O650" s="21">
        <v>0</v>
      </c>
      <c r="P650" s="454" t="e">
        <f t="shared" si="126"/>
        <v>#DIV/0!</v>
      </c>
      <c r="Q650" s="292">
        <f t="shared" si="138"/>
        <v>0</v>
      </c>
      <c r="R650" s="293">
        <f t="shared" si="139"/>
        <v>0</v>
      </c>
    </row>
    <row r="651" spans="1:18" ht="15" customHeight="1">
      <c r="A651" s="26"/>
      <c r="B651" s="23" t="s">
        <v>485</v>
      </c>
      <c r="C651" s="29" t="s">
        <v>512</v>
      </c>
      <c r="D651" s="20"/>
      <c r="E651" s="20">
        <v>10760</v>
      </c>
      <c r="F651" s="20">
        <v>0</v>
      </c>
      <c r="G651" s="20">
        <v>0</v>
      </c>
      <c r="H651" s="8">
        <v>3570</v>
      </c>
      <c r="I651" s="8">
        <v>0</v>
      </c>
      <c r="J651" s="8">
        <v>0</v>
      </c>
      <c r="K651" s="8">
        <v>5300</v>
      </c>
      <c r="L651" s="8">
        <v>5300</v>
      </c>
      <c r="M651" s="20">
        <v>0</v>
      </c>
      <c r="N651" s="21">
        <f>L651</f>
        <v>5300</v>
      </c>
      <c r="O651" s="21">
        <v>0</v>
      </c>
      <c r="P651" s="454">
        <f t="shared" si="126"/>
        <v>1</v>
      </c>
      <c r="Q651" s="292">
        <f t="shared" si="138"/>
        <v>0.00015189521958230878</v>
      </c>
      <c r="R651" s="293">
        <f t="shared" si="139"/>
        <v>0.00016162151388493474</v>
      </c>
    </row>
    <row r="652" spans="1:28" ht="13.5" customHeight="1">
      <c r="A652" s="26"/>
      <c r="B652" s="23" t="s">
        <v>491</v>
      </c>
      <c r="C652" s="29" t="s">
        <v>492</v>
      </c>
      <c r="D652" s="20"/>
      <c r="E652" s="20">
        <v>4000</v>
      </c>
      <c r="F652" s="20">
        <v>0</v>
      </c>
      <c r="G652" s="20">
        <v>0</v>
      </c>
      <c r="H652" s="8">
        <v>1480</v>
      </c>
      <c r="I652" s="8">
        <v>0</v>
      </c>
      <c r="J652" s="8">
        <v>0</v>
      </c>
      <c r="K652" s="8">
        <v>1600</v>
      </c>
      <c r="L652" s="8">
        <v>1800</v>
      </c>
      <c r="M652" s="20">
        <v>0</v>
      </c>
      <c r="N652" s="21">
        <f>L652</f>
        <v>1800</v>
      </c>
      <c r="O652" s="21">
        <v>0</v>
      </c>
      <c r="P652" s="454">
        <f t="shared" si="126"/>
        <v>1.125</v>
      </c>
      <c r="Q652" s="292">
        <f t="shared" si="138"/>
        <v>4.5855160628621516E-05</v>
      </c>
      <c r="R652" s="293">
        <f t="shared" si="139"/>
        <v>5.48903254703552E-05</v>
      </c>
      <c r="S652" s="459"/>
      <c r="T652" s="459"/>
      <c r="U652" s="459"/>
      <c r="V652" s="459"/>
      <c r="W652" s="459"/>
      <c r="X652" s="459"/>
      <c r="Y652" s="459"/>
      <c r="Z652" s="459"/>
      <c r="AA652" s="459"/>
      <c r="AB652" s="459"/>
    </row>
    <row r="653" spans="1:28" ht="18" customHeight="1" hidden="1">
      <c r="A653" s="23"/>
      <c r="B653" s="23"/>
      <c r="C653" s="11" t="s">
        <v>626</v>
      </c>
      <c r="D653" s="8">
        <v>5000</v>
      </c>
      <c r="E653" s="8">
        <v>0</v>
      </c>
      <c r="F653" s="8"/>
      <c r="G653" s="8"/>
      <c r="H653" s="8"/>
      <c r="I653" s="8"/>
      <c r="J653" s="8"/>
      <c r="K653" s="8"/>
      <c r="L653" s="8"/>
      <c r="M653" s="8"/>
      <c r="N653" s="24"/>
      <c r="O653" s="24"/>
      <c r="P653" s="440" t="e">
        <f t="shared" si="126"/>
        <v>#DIV/0!</v>
      </c>
      <c r="Q653" s="292">
        <f t="shared" si="138"/>
        <v>0</v>
      </c>
      <c r="R653" s="293">
        <f t="shared" si="139"/>
        <v>0</v>
      </c>
      <c r="S653" s="459"/>
      <c r="T653" s="459"/>
      <c r="U653" s="459"/>
      <c r="V653" s="459"/>
      <c r="W653" s="459"/>
      <c r="X653" s="459"/>
      <c r="Y653" s="459"/>
      <c r="Z653" s="459"/>
      <c r="AA653" s="459"/>
      <c r="AB653" s="459"/>
    </row>
    <row r="654" spans="1:28" s="442" customFormat="1" ht="14.25" customHeight="1">
      <c r="A654" s="443" t="s">
        <v>749</v>
      </c>
      <c r="B654" s="443"/>
      <c r="C654" s="449" t="s">
        <v>750</v>
      </c>
      <c r="D654" s="444">
        <f>D655+D657</f>
        <v>10000</v>
      </c>
      <c r="E654" s="444">
        <f>E655+E657</f>
        <v>25000</v>
      </c>
      <c r="F654" s="444">
        <f aca="true" t="shared" si="140" ref="F654:O654">F657</f>
        <v>0</v>
      </c>
      <c r="G654" s="444">
        <f t="shared" si="140"/>
        <v>0</v>
      </c>
      <c r="H654" s="444">
        <f>H657</f>
        <v>16000</v>
      </c>
      <c r="I654" s="444">
        <f>I657</f>
        <v>0</v>
      </c>
      <c r="J654" s="444">
        <f>J657</f>
        <v>0</v>
      </c>
      <c r="K654" s="444">
        <f>K657</f>
        <v>16000</v>
      </c>
      <c r="L654" s="444">
        <f>L657</f>
        <v>16000</v>
      </c>
      <c r="M654" s="444">
        <f t="shared" si="140"/>
        <v>0</v>
      </c>
      <c r="N654" s="446">
        <f t="shared" si="140"/>
        <v>16000</v>
      </c>
      <c r="O654" s="446">
        <f t="shared" si="140"/>
        <v>0</v>
      </c>
      <c r="P654" s="440">
        <f t="shared" si="126"/>
        <v>1</v>
      </c>
      <c r="Q654" s="440">
        <f t="shared" si="138"/>
        <v>0.0004585516062862152</v>
      </c>
      <c r="R654" s="441">
        <f t="shared" si="139"/>
        <v>0.0004879140041809351</v>
      </c>
      <c r="S654" s="459"/>
      <c r="T654" s="459"/>
      <c r="U654" s="459"/>
      <c r="V654" s="459"/>
      <c r="W654" s="459"/>
      <c r="X654" s="459"/>
      <c r="Y654" s="459"/>
      <c r="Z654" s="459"/>
      <c r="AA654" s="459"/>
      <c r="AB654" s="459"/>
    </row>
    <row r="655" spans="1:18" ht="18" customHeight="1" hidden="1">
      <c r="A655" s="17" t="s">
        <v>751</v>
      </c>
      <c r="B655" s="28"/>
      <c r="C655" s="4" t="s">
        <v>752</v>
      </c>
      <c r="D655" s="7">
        <f>D656</f>
        <v>0</v>
      </c>
      <c r="E655" s="7">
        <f>E656</f>
        <v>0</v>
      </c>
      <c r="F655" s="7"/>
      <c r="G655" s="7"/>
      <c r="H655" s="7"/>
      <c r="I655" s="7"/>
      <c r="J655" s="7"/>
      <c r="K655" s="7"/>
      <c r="L655" s="7"/>
      <c r="M655" s="7"/>
      <c r="N655" s="19"/>
      <c r="O655" s="19"/>
      <c r="P655" s="440" t="e">
        <f t="shared" si="126"/>
        <v>#DIV/0!</v>
      </c>
      <c r="Q655" s="292">
        <f t="shared" si="138"/>
        <v>0</v>
      </c>
      <c r="R655" s="293">
        <f t="shared" si="139"/>
        <v>0</v>
      </c>
    </row>
    <row r="656" spans="1:18" ht="14.25" customHeight="1" hidden="1">
      <c r="A656" s="23"/>
      <c r="B656" s="28" t="s">
        <v>515</v>
      </c>
      <c r="C656" s="11" t="s">
        <v>753</v>
      </c>
      <c r="D656" s="8">
        <v>0</v>
      </c>
      <c r="E656" s="8">
        <v>0</v>
      </c>
      <c r="F656" s="8"/>
      <c r="G656" s="8"/>
      <c r="H656" s="8"/>
      <c r="I656" s="8"/>
      <c r="J656" s="8"/>
      <c r="K656" s="8"/>
      <c r="L656" s="8"/>
      <c r="M656" s="8"/>
      <c r="N656" s="24"/>
      <c r="O656" s="24"/>
      <c r="P656" s="440" t="e">
        <f t="shared" si="126"/>
        <v>#DIV/0!</v>
      </c>
      <c r="Q656" s="292">
        <f t="shared" si="138"/>
        <v>0</v>
      </c>
      <c r="R656" s="293">
        <f t="shared" si="139"/>
        <v>0</v>
      </c>
    </row>
    <row r="657" spans="1:18" ht="12.75" customHeight="1">
      <c r="A657" s="26" t="s">
        <v>754</v>
      </c>
      <c r="B657" s="17"/>
      <c r="C657" s="4" t="s">
        <v>556</v>
      </c>
      <c r="D657" s="7">
        <f>D661</f>
        <v>10000</v>
      </c>
      <c r="E657" s="7">
        <f>E658+E659</f>
        <v>25000</v>
      </c>
      <c r="F657" s="7">
        <f>F658+F659</f>
        <v>0</v>
      </c>
      <c r="G657" s="7">
        <f>G658+G659</f>
        <v>0</v>
      </c>
      <c r="H657" s="7">
        <f aca="true" t="shared" si="141" ref="H657:O657">H659</f>
        <v>16000</v>
      </c>
      <c r="I657" s="7">
        <f t="shared" si="141"/>
        <v>0</v>
      </c>
      <c r="J657" s="7">
        <f t="shared" si="141"/>
        <v>0</v>
      </c>
      <c r="K657" s="7">
        <f t="shared" si="141"/>
        <v>16000</v>
      </c>
      <c r="L657" s="7">
        <f t="shared" si="141"/>
        <v>16000</v>
      </c>
      <c r="M657" s="7">
        <f t="shared" si="141"/>
        <v>0</v>
      </c>
      <c r="N657" s="7">
        <f t="shared" si="141"/>
        <v>16000</v>
      </c>
      <c r="O657" s="7">
        <f t="shared" si="141"/>
        <v>0</v>
      </c>
      <c r="P657" s="454">
        <f t="shared" si="126"/>
        <v>1</v>
      </c>
      <c r="Q657" s="292">
        <f t="shared" si="138"/>
        <v>0.0004585516062862152</v>
      </c>
      <c r="R657" s="293">
        <f t="shared" si="139"/>
        <v>0.0004879140041809351</v>
      </c>
    </row>
    <row r="658" spans="1:18" ht="26.25" customHeight="1" hidden="1">
      <c r="A658" s="26"/>
      <c r="B658" s="30"/>
      <c r="C658" s="29" t="s">
        <v>523</v>
      </c>
      <c r="D658" s="20"/>
      <c r="E658" s="20">
        <v>10800</v>
      </c>
      <c r="F658" s="20">
        <v>0</v>
      </c>
      <c r="G658" s="20">
        <v>0</v>
      </c>
      <c r="H658" s="20"/>
      <c r="I658" s="20"/>
      <c r="J658" s="20"/>
      <c r="K658" s="20"/>
      <c r="L658" s="20"/>
      <c r="M658" s="20">
        <v>0</v>
      </c>
      <c r="N658" s="21">
        <f>H658</f>
        <v>0</v>
      </c>
      <c r="O658" s="21">
        <v>0</v>
      </c>
      <c r="P658" s="311" t="e">
        <f aca="true" t="shared" si="142" ref="P658:P669">L658/K658*100</f>
        <v>#DIV/0!</v>
      </c>
      <c r="Q658" s="292">
        <f t="shared" si="138"/>
        <v>0</v>
      </c>
      <c r="R658" s="293">
        <f t="shared" si="139"/>
        <v>0</v>
      </c>
    </row>
    <row r="659" spans="1:18" ht="48.75" customHeight="1">
      <c r="A659" s="26"/>
      <c r="B659" s="30" t="s">
        <v>721</v>
      </c>
      <c r="C659" s="29" t="s">
        <v>798</v>
      </c>
      <c r="D659" s="20"/>
      <c r="E659" s="20">
        <v>14200</v>
      </c>
      <c r="F659" s="20">
        <v>0</v>
      </c>
      <c r="G659" s="20">
        <v>0</v>
      </c>
      <c r="H659" s="20">
        <v>16000</v>
      </c>
      <c r="I659" s="20">
        <v>0</v>
      </c>
      <c r="J659" s="20">
        <v>0</v>
      </c>
      <c r="K659" s="8">
        <v>16000</v>
      </c>
      <c r="L659" s="8">
        <v>16000</v>
      </c>
      <c r="M659" s="20">
        <v>0</v>
      </c>
      <c r="N659" s="21">
        <f>L659</f>
        <v>16000</v>
      </c>
      <c r="O659" s="21">
        <v>0</v>
      </c>
      <c r="P659" s="311">
        <f t="shared" si="142"/>
        <v>100</v>
      </c>
      <c r="Q659" s="292">
        <f t="shared" si="138"/>
        <v>0.0004585516062862152</v>
      </c>
      <c r="R659" s="293">
        <f t="shared" si="139"/>
        <v>0.0004879140041809351</v>
      </c>
    </row>
    <row r="660" spans="1:18" ht="16.5" customHeight="1" hidden="1">
      <c r="A660" s="26"/>
      <c r="B660" s="17"/>
      <c r="C660" s="4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19"/>
      <c r="O660" s="19"/>
      <c r="P660" s="311" t="e">
        <f t="shared" si="142"/>
        <v>#DIV/0!</v>
      </c>
      <c r="Q660" s="292">
        <f t="shared" si="138"/>
        <v>0</v>
      </c>
      <c r="R660" s="293">
        <f t="shared" si="139"/>
        <v>0</v>
      </c>
    </row>
    <row r="661" spans="1:18" ht="3.75" customHeight="1" hidden="1">
      <c r="A661" s="23"/>
      <c r="B661" s="28"/>
      <c r="C661" s="11"/>
      <c r="D661" s="8">
        <v>10000</v>
      </c>
      <c r="E661" s="8"/>
      <c r="F661" s="8"/>
      <c r="G661" s="8"/>
      <c r="H661" s="8"/>
      <c r="I661" s="8"/>
      <c r="J661" s="8"/>
      <c r="K661" s="8"/>
      <c r="L661" s="8"/>
      <c r="M661" s="8"/>
      <c r="N661" s="24"/>
      <c r="O661" s="24"/>
      <c r="P661" s="311" t="e">
        <f t="shared" si="142"/>
        <v>#DIV/0!</v>
      </c>
      <c r="Q661" s="292">
        <f t="shared" si="138"/>
        <v>0</v>
      </c>
      <c r="R661" s="293">
        <f t="shared" si="139"/>
        <v>0</v>
      </c>
    </row>
    <row r="662" spans="1:18" ht="24" customHeight="1">
      <c r="A662" s="462"/>
      <c r="B662" s="463"/>
      <c r="C662" s="464" t="s">
        <v>755</v>
      </c>
      <c r="D662" s="465" t="e">
        <f>D9+D31+D37+D64+D75+D94+D168+D222+D231+D236+D410+D447+D565+D644+D654</f>
        <v>#REF!</v>
      </c>
      <c r="E662" s="465" t="e">
        <f>E9+E31+E37+E64+E75+E94+E168+E222+E231+E236+E410+E447+E565+E644+E654</f>
        <v>#REF!</v>
      </c>
      <c r="F662" s="465" t="e">
        <f>F654+F644+F565+F447+F410+F236+F231+F222+F168+F94+F75+F64+F37+F31+F9</f>
        <v>#REF!</v>
      </c>
      <c r="G662" s="465" t="e">
        <f>G654+G644+G565+G447+G410+G236+G231+G222+G168+G94+G75+G64+G37+G31+G9</f>
        <v>#REF!</v>
      </c>
      <c r="H662" s="465" t="e">
        <f>H654+H644+H565+H447+H410+H236+H231+H222+H168+H162+H94+H75+H64+H37+H31+H9+H61</f>
        <v>#REF!</v>
      </c>
      <c r="I662" s="465" t="e">
        <f>I654+I644+I565+I447+I410+I236+I231+I222+I168+I162+I94+I75+I64+I37+I31+I9+I61</f>
        <v>#REF!</v>
      </c>
      <c r="J662" s="465" t="e">
        <f>J654+J644+J565+J447+J410+J236+J231+J222+J168+J162+J94+J75+J64+J37+J31+J9+J61</f>
        <v>#REF!</v>
      </c>
      <c r="K662" s="465">
        <f>K9+K31+K37+K64+K75+K94+K168+K222+K231+K236+K396+K410+K447+K537+K565+K644+K654</f>
        <v>34892474</v>
      </c>
      <c r="L662" s="465">
        <f>L9+L31+L37+L64+L75+L94+L168+L222+L231+L236+L396+L410+L447+L537+L565+L644+L654</f>
        <v>32792664</v>
      </c>
      <c r="M662" s="465">
        <f>M9+M31+M37+M64+M75+M94+M168+M222+M231+M236+M396+M410+M447+M537+M565+M644+M654</f>
        <v>3305295</v>
      </c>
      <c r="N662" s="465">
        <f>N9+N31+N37+N64+N75+N94+N168+N222+N231+N236+N396+N410+N447+N537+N565+N644+N654</f>
        <v>29002013</v>
      </c>
      <c r="O662" s="465">
        <f>O9+O31+O37+O64+O75+O94+O168+O222+O231+O236+O396+O410+O447+O537+O565+O644+O654</f>
        <v>485356</v>
      </c>
      <c r="P662" s="536">
        <f t="shared" si="142"/>
        <v>93.98205469752588</v>
      </c>
      <c r="Q662" s="537">
        <f t="shared" si="138"/>
        <v>1</v>
      </c>
      <c r="R662" s="538">
        <f t="shared" si="139"/>
        <v>1</v>
      </c>
    </row>
    <row r="663" spans="1:18" ht="24" customHeight="1">
      <c r="A663" s="8"/>
      <c r="B663" s="663" t="s">
        <v>756</v>
      </c>
      <c r="C663" s="663"/>
      <c r="D663" s="3" t="s">
        <v>757</v>
      </c>
      <c r="E663" s="3" t="s">
        <v>757</v>
      </c>
      <c r="F663" s="3" t="s">
        <v>757</v>
      </c>
      <c r="G663" s="3" t="s">
        <v>757</v>
      </c>
      <c r="H663" s="3"/>
      <c r="I663" s="3"/>
      <c r="J663" s="3"/>
      <c r="K663" s="3"/>
      <c r="L663" s="3"/>
      <c r="M663" s="3"/>
      <c r="N663" s="3"/>
      <c r="O663" s="3"/>
      <c r="P663" s="121"/>
      <c r="Q663" s="6"/>
      <c r="R663" s="539"/>
    </row>
    <row r="664" spans="1:18" ht="29.25" customHeight="1">
      <c r="A664" s="39"/>
      <c r="B664" s="672" t="s">
        <v>758</v>
      </c>
      <c r="C664" s="673"/>
      <c r="D664" s="673"/>
      <c r="E664" s="40" t="e">
        <f aca="true" t="shared" si="143" ref="E664:J664">E662-E669</f>
        <v>#REF!</v>
      </c>
      <c r="F664" s="40" t="e">
        <f t="shared" si="143"/>
        <v>#REF!</v>
      </c>
      <c r="G664" s="40" t="e">
        <f t="shared" si="143"/>
        <v>#REF!</v>
      </c>
      <c r="H664" s="40" t="e">
        <f t="shared" si="143"/>
        <v>#REF!</v>
      </c>
      <c r="I664" s="40" t="e">
        <f t="shared" si="143"/>
        <v>#REF!</v>
      </c>
      <c r="J664" s="40" t="e">
        <f t="shared" si="143"/>
        <v>#REF!</v>
      </c>
      <c r="K664" s="40">
        <f>K662-K669</f>
        <v>24480943</v>
      </c>
      <c r="L664" s="40">
        <f>L662-L669</f>
        <v>25522914</v>
      </c>
      <c r="M664" s="40">
        <f>M662-M669</f>
        <v>3305295</v>
      </c>
      <c r="N664" s="40">
        <f>N662-N669</f>
        <v>21774263</v>
      </c>
      <c r="O664" s="40">
        <f>O662-O669</f>
        <v>443356</v>
      </c>
      <c r="P664" s="311">
        <f t="shared" si="142"/>
        <v>104.25625352748871</v>
      </c>
      <c r="Q664" s="292">
        <f aca="true" t="shared" si="144" ref="Q664:Q671">K664/$K$662</f>
        <v>0.7016109835032047</v>
      </c>
      <c r="R664" s="293">
        <f aca="true" t="shared" si="145" ref="R664:R671">L664/$L$662</f>
        <v>0.7783116980066029</v>
      </c>
    </row>
    <row r="665" spans="1:18" ht="12" customHeight="1">
      <c r="A665" s="39"/>
      <c r="B665" s="669" t="s">
        <v>759</v>
      </c>
      <c r="C665" s="670"/>
      <c r="D665" s="670"/>
      <c r="E665" s="8" t="e">
        <f>E13+E15+E41+E42+E81+E83+E97+E98+E118+E119+E171+E173+E174+E175+E176+E177+E239+E240+E255+E256+E269+E270+E356+#REF!+E303+E304+E335+E336+E369+E370+E434+E435+E451+E452+E468+E469+E495+E496+E539+E549+E550+E568+E569+E586+E587+E601+E602+E14+E193+E194+E195+E196+E197+#REF!+#REF!+E172</f>
        <v>#REF!</v>
      </c>
      <c r="F665" s="8" t="e">
        <f>F13+F15+F41+F42+F81+F83+F97+F98+F118+F119+F171+F173+F174+F175+F176+F177+F239+F240+F255+F256+F269+F270+F356+#REF!+F303+F304+F335+F336+F369+F370+F434+F435+F451+F452+F468+F469+F495+F496+F539+F549+F550+F568+F569+F586+F587+F601+F602+F14+F193+F194+F195+F196+F197+#REF!+#REF!+F172</f>
        <v>#REF!</v>
      </c>
      <c r="G665" s="8" t="e">
        <f>G13+G15+G41+G42+G81+G83+G97+G98+G118+G119+G171+G173+G174+G175+G176+G177+G239+G240+G255+G256+G269+G270+G356+#REF!+G303+G304+G335+G336+G369+G370+G434+G435+G451+G452+G468+G469+G495+G496+G539+G549+G550+G568+G569+G586+G587+G601+G602+G14+G193+G194+G195+G196+G197+#REF!+#REF!+G172</f>
        <v>#REF!</v>
      </c>
      <c r="H665" s="8" t="e">
        <f>H13+H14+H15+H41+H42+H81+H82+H83+H97+H98+H118+H119+H171+H172+H173+H174+H175+H176+H177+H193+H194+H195+H196+H197+#REF!++H239+H240+H255+H256+H269+H270+H303+H304+H356+H369+H370+H451+H452+H468+H469+H495+H496+H539+H540+#REF!+#REF!+H549+H550+H568+H569+H586+H587+H601+H602+H389+H292</f>
        <v>#REF!</v>
      </c>
      <c r="I665" s="8" t="e">
        <f>I13+I14+I15+I41+I42+I81+I82+I83+I97+I98+I118+I119+I171+I172+I173+I174+I175+I176+I177+I193+I194+I195+I196+I197+#REF!++I239+I240+I255+I256+I269+I270+I303+I304+I356+I369+I370+I451+I452+I468+I469+I495+I496+I539+I540+#REF!+#REF!+I549+I550+I568+I569+I586+I587+I601+I602+I389+I292</f>
        <v>#REF!</v>
      </c>
      <c r="J665" s="8" t="e">
        <f>J13+J14+J15+J41+J42+J81+J82+J83+J97+J98+J118+J119+J171+J172+J173+J174+J175+J176+J177+J193+J194+J195+J196+J197+#REF!++J239+J240+J255+J256+J269+J270+J303+J304+J356+J369+J370+J451+J452+J468+J469+J495+J496+J539+J540+#REF!+#REF!+J549+J550+J568+J569+J586+J587+J601+J602+J389+J292</f>
        <v>#REF!</v>
      </c>
      <c r="K665" s="8">
        <f>K41+K42+K45+K73+K81+K82+K83+K97+K98+K102+K118+K119+K121+K145+K151+K158+K193+K194+K195+K196+K197+K201+K239+K240+K243+K255+K256+K269+K270+K276+K292+K293+K303+K304+K309+K369+K370+K383+K389+K392+K400+K401+K420+K451+K452+K468+K469+K495+K496+K500+K509+K521+K522+K539+K540+K549+K550+K555+K568+K569+K586+K587+K590+K601+K602+K605+K630+K631+K638</f>
        <v>12471645</v>
      </c>
      <c r="L665" s="8">
        <f>L41+L42+L45+L73+L81+L82+L83+L97+L98+L102+L118+L119+L121+L145+L151+L158+L193+L194+L195+L196+L197+L201+L239+L240+L243+L255+L256+L269+L270+L276+L292+L293+L303+L304+L309+L369+L370+L383+L389+L392+L400+L401+L420+L451+L452+L468+L469+L495+L496+L500+L509+L521+L522+L539+L540+L549+L550+L555+L568+L569+L586+L587+L590+L601+L602+L605+L630+L631+L638</f>
        <v>13382808</v>
      </c>
      <c r="M665" s="8">
        <f>M41+M42+M45+M73+M81+M82+M83+M97+M98+M102+M118+M119+M121+M145+M151+M158+M193+M194+M195+M196+M197+M201+M239+M240+M243+M255+M256+M269+M270+M276+M292+M293+M303+M304+M309+M369+M370+M383+M389+M392+M400+M401+M420+M451+M452+M468+M469+M495+M496+M500+M509+M521+M522+M539+M540+M549+M550+M555+M568+M569+M586+M587+M590+M601+M602+M605+M630+M631+M638</f>
        <v>1951486</v>
      </c>
      <c r="N665" s="8">
        <f>N41+N42+N45+N73+N81+N82+N83+N97+N98+N102+N118+N119+N121+N145+N151+N158+N193+N194+N195+N196+N197+N201+N239+N240+N243+N255+N256+N269+N270+N276+N292+N293+N303+N304+N309+N369+N370+N383+N389+N392+N400+N401+N420+N451+N452+N468+N469+N495+N496+N500+N509+N521+N522+N539+N540+N549+N550+N555+N568+N569+N586+N587+N590+N601+N602+N605+N630+N631+N638</f>
        <v>11431322</v>
      </c>
      <c r="O665" s="8">
        <f>O41+O42+O45+O73+O81+O82+O83+O97+O98+O102+O118+O119+O121+O145+O151+O158+O193+O194+O195+O196+O197+O201+O239+O240+O243+O255+O256+O269+O270+O276+O292+O293+O303+O304+O309+O369+O370+O383+O389+O392+O400+O401+O420+O451+O452+O468+O469+O495+O496+O500+O509+O521+O522+O539+O540+O549+O550+O555+O568+O569+O586+O587+O590+O601+O602+O605+O630+O631+O638</f>
        <v>0</v>
      </c>
      <c r="P665" s="311">
        <f t="shared" si="142"/>
        <v>107.30587665059421</v>
      </c>
      <c r="Q665" s="292">
        <f t="shared" si="144"/>
        <v>0.3574308029863403</v>
      </c>
      <c r="R665" s="293">
        <f t="shared" si="145"/>
        <v>0.40810371490404074</v>
      </c>
    </row>
    <row r="666" spans="1:18" ht="12.75" customHeight="1">
      <c r="A666" s="39"/>
      <c r="B666" s="669" t="s">
        <v>760</v>
      </c>
      <c r="C666" s="670"/>
      <c r="D666" s="670"/>
      <c r="E666" s="8" t="e">
        <f>E16+E17+E43+E44+E84+E85+E99+E100+E120+E122+E142+E143+E178+E179+E199+E200+E241+E242+E257+E258+E271+E272+E305+E306+E337+E338+E357+E358+E371+E372+E436+E437+E453+E454+E470+E471+E497+E498+E541+E542+E551+E552+E570+E571+E588+E589+E603+E604+E384+#REF!+#REF!+#REF!+E636+E637</f>
        <v>#REF!</v>
      </c>
      <c r="F666" s="8" t="e">
        <f>F16+F17+F43+F44+F84+F85+F99+F100+F120+F122+F142+F143+F178+F179+F199+F200+F241+F242+F257+F258+F271+F272+F305+F306+F337+F338+F357+F358+F371+F372+F436+F437+F453+F454+F470+F471+F497+F498+F541+F542+F551+F552+F570+F571+F588+F589+F603+F604+F384+#REF!+#REF!+#REF!+F636+F637</f>
        <v>#REF!</v>
      </c>
      <c r="G666" s="8" t="e">
        <f>G16+G17+G43+G44+G84+G85+G99+G100+G120+G122+G142+G143+G178+G179+G199+G200+G241+G242+G257+G258+G271+G272+G305+G306+G337+G338+G357+G358+G371+G372+G436+G437+G453+G454+G470+G471+G497+G498+G541+G542+G551+G552+G570+G571+G588+G589+G603+G604+G384+#REF!+#REF!+#REF!+G636+G637</f>
        <v>#REF!</v>
      </c>
      <c r="H666" s="8" t="e">
        <f>H16+H17+H43+H44+H84+H85+H99+H100+H120+H122+H142+H143+H178+H179+H199+H200+H241+H242+H257+H258+H271+H272+H305+H306+H357+H358+H371+H372+H453+H454+H470+H471+H497+H498+H541+H542+#REF!+#REF!+H551+H552+H570+H571+H588+H589+H603+H604+H636+H637+H390+H391+H294+H295</f>
        <v>#REF!</v>
      </c>
      <c r="I666" s="8" t="e">
        <f>I16+I17+I43+I44+I84+I85+I99+I100+I120+I122+I142+I143+I178+I179+I199+I200+I241+I242+I257+I258+I271+I272+I305+I306+I357+I358+I371+I372+I453+I454+I470+I471+I497+I498+I541+I542+#REF!+#REF!+I551+I552+I570+I571+I588+I589+I603+I604+I636+I637+I390+I391+I294+I295</f>
        <v>#REF!</v>
      </c>
      <c r="J666" s="8" t="e">
        <f>J16+J17+J43+J44+J84+J85+J99+J100+J120+J122+J142+J143+J178+J179+J199+J200+J241+J242+J257+J258+J271+J272+J305+J306+J357+J358+J371+J372+J453+J454+J470+J471+J497+J498+J541+J542+#REF!+#REF!+J551+J552+J570+J571+J588+J589+J603+J604+J636+J637+J390+J391+J294+J295</f>
        <v>#REF!</v>
      </c>
      <c r="K666" s="8">
        <f>K43+K44+K84+K85+K99+K100+K120+K122+K142+K143+K199+K200+K241+K242+K257+K258+K271+K272+K294+K295+K305+K306+K371+K372+K390+K391+K421+K422+K453+K454+K470+K471+K497+K498+K510+K511+K523+K524+K541+K542+K551+K552+K570+K571+K588+K589+K603+K604+K630+K631</f>
        <v>2170000</v>
      </c>
      <c r="L666" s="8">
        <f>L43+L44+L84+L85+L99+L100+L120+L122+L142+L143+L199+L200+L241+L242+L257+L258+L271+L272+L294+L295+L305+L306+L371+L372+L390+L391+L421+L422+L453+L454+L470+L471+L497+L498+L510+L511+L523+L524+L541+L542+L551+L552+L570+L571+L588+L589+L603+L604</f>
        <v>2199864</v>
      </c>
      <c r="M666" s="8">
        <f>M43+M44+M84+M85+M99+M100+M120+M122+M142+M143+M199+M200+M241+M242+M257+M258+M271+M272+M294+M295+M305+M306+M371+M372+M390+M391+M421+M422+M453+M454+M470+M471+M497+M498+M510+M511+M523+M524+M541+M542+M551+M552+M570+M571+M588+M589+M603+M604</f>
        <v>47546</v>
      </c>
      <c r="N666" s="8">
        <f>N43+N44+N84+N85+N99+N100+N120+N122+N142+N143+N199+N200+N241+N242+N257+N258+N271+N272+N294+N295+N305+N306+N371+N372+N390+N391+N421+N422+N453+N454+N470+N471+N497+N498+N510+N511+N523+N524+N541+N542+N551+N552+N570+N571+N588+N589+N603+N604</f>
        <v>2152318</v>
      </c>
      <c r="O666" s="8">
        <f>O43+O44+O84+O85+O99+O100+O120+O122+O142+O143+O199+O200+O241+O242+O257+O258+O271+O272+O294+O295+O305+O306+O371+O372+O390+O391+O421+O422+O453+O454+O470+O471+O497+O498+O510+O511+O523+O524+O541+O542+O551+O552+O570+O571+O588+O589+O603+O604</f>
        <v>0</v>
      </c>
      <c r="P666" s="311">
        <f t="shared" si="142"/>
        <v>101.37622119815668</v>
      </c>
      <c r="Q666" s="292">
        <f t="shared" si="144"/>
        <v>0.06219106160256793</v>
      </c>
      <c r="R666" s="293">
        <f t="shared" si="145"/>
        <v>0.06708402830584304</v>
      </c>
    </row>
    <row r="667" spans="1:18" ht="29.25" customHeight="1">
      <c r="A667" s="39"/>
      <c r="B667" s="671" t="s">
        <v>440</v>
      </c>
      <c r="C667" s="668"/>
      <c r="D667" s="668"/>
      <c r="E667" s="8" t="e">
        <f>E135+E287+E329+E349+E364+E380+E387+E635+E646+E529+E464+#REF!+#REF!+#REF!+E412</f>
        <v>#REF!</v>
      </c>
      <c r="F667" s="8" t="e">
        <f>F135+F287+F329+F349+F364+F380+F416+F635+F646+F386+F529+F464+#REF!+#REF!+#REF!+F412</f>
        <v>#REF!</v>
      </c>
      <c r="G667" s="8" t="e">
        <f>G135+G287+G329+G349+G364+G380+G416+G635+G646+G386+G529+G464+#REF!+#REF!+#REF!+G412</f>
        <v>#REF!</v>
      </c>
      <c r="H667" s="8" t="e">
        <f>H251+H266+H287+H329+H364+H387+H464+H529+#REF!+H635+H646+H659+H104+#REF!+H650+#REF!+H252+H380+#REF!+H39+H412+#REF!+H30+#REF!</f>
        <v>#REF!</v>
      </c>
      <c r="I667" s="8" t="e">
        <f>I251+I266+I287+I329+I364+I387+I464+I529+#REF!+I635+I646+I659+I104+#REF!+I650+#REF!+I252+I380+#REF!+I39+I412+#REF!+I30+#REF!</f>
        <v>#REF!</v>
      </c>
      <c r="J667" s="8" t="e">
        <f>J251+J266+J287+J329+J364+J387+J464+J529+#REF!+J635+J646+J659+J104+#REF!+J650+#REF!+J252+J380+#REF!+J39+J412+#REF!+J30+#REF!</f>
        <v>#REF!</v>
      </c>
      <c r="K667" s="152">
        <f>K30+K39+K96+K108+K137+K150+K190+K251+K253+K266+K287+K329+K380+K387+K412+K465+K488+K489+K635+K646+K659</f>
        <v>1519945</v>
      </c>
      <c r="L667" s="152">
        <f>L30+L39+L96+L108+L137+L150+L190+L251+L253+L266+L287+L329+L380+L387+L412+L465+L488+L489+L635+L646+L659</f>
        <v>1771356</v>
      </c>
      <c r="M667" s="152">
        <f>M30+M39+M96+M108+M137+M150+M190+M251+M253+M266+M287+M329+M380+M387+M412+M465+M488+M489+M635+M646+M659</f>
        <v>0</v>
      </c>
      <c r="N667" s="152">
        <f>N30+N39+N96+N108+N137+N150+N190+N251+N253+N266+N287+N329+N380+N387+N412+N465+N488+N489+N635+N646+N659</f>
        <v>1326000</v>
      </c>
      <c r="O667" s="152">
        <f>O30+O39+O96+O108+O137+O251+O253+O266+O287+O329+O380+O387+O412+O465+O488+O489+O539+O635+O646+O659</f>
        <v>443356</v>
      </c>
      <c r="P667" s="311">
        <f t="shared" si="142"/>
        <v>116.5407958840616</v>
      </c>
      <c r="Q667" s="292">
        <f t="shared" si="144"/>
        <v>0.043560826326043835</v>
      </c>
      <c r="R667" s="293">
        <f t="shared" si="145"/>
        <v>0.05401683742437028</v>
      </c>
    </row>
    <row r="668" spans="1:18" ht="15.75" customHeight="1">
      <c r="A668" s="39"/>
      <c r="B668" s="671" t="s">
        <v>803</v>
      </c>
      <c r="C668" s="668"/>
      <c r="D668" s="668"/>
      <c r="E668" s="8">
        <f aca="true" t="shared" si="146" ref="E668:O668">E222</f>
        <v>750000</v>
      </c>
      <c r="F668" s="8">
        <f t="shared" si="146"/>
        <v>0</v>
      </c>
      <c r="G668" s="8">
        <f t="shared" si="146"/>
        <v>0</v>
      </c>
      <c r="H668" s="8">
        <f>H222</f>
        <v>496142</v>
      </c>
      <c r="I668" s="8">
        <f>I222</f>
        <v>0</v>
      </c>
      <c r="J668" s="8">
        <f>J222</f>
        <v>0</v>
      </c>
      <c r="K668" s="8">
        <f>K222</f>
        <v>654374</v>
      </c>
      <c r="L668" s="8">
        <f t="shared" si="146"/>
        <v>780893</v>
      </c>
      <c r="M668" s="8">
        <f t="shared" si="146"/>
        <v>0</v>
      </c>
      <c r="N668" s="8">
        <f t="shared" si="146"/>
        <v>780893</v>
      </c>
      <c r="O668" s="8">
        <f t="shared" si="146"/>
        <v>0</v>
      </c>
      <c r="P668" s="311">
        <f t="shared" si="142"/>
        <v>119.33435619385855</v>
      </c>
      <c r="Q668" s="292">
        <f t="shared" si="144"/>
        <v>0.018754015550745986</v>
      </c>
      <c r="R668" s="293">
        <f t="shared" si="145"/>
        <v>0.023813039404178934</v>
      </c>
    </row>
    <row r="669" spans="1:18" ht="15.75" customHeight="1">
      <c r="A669" s="39"/>
      <c r="B669" s="669" t="s">
        <v>804</v>
      </c>
      <c r="C669" s="670"/>
      <c r="D669" s="670"/>
      <c r="E669" s="8" t="e">
        <f>E55+E56+E57+#REF!+#REF!+#REF!+E351+E352+#REF!+E417+#REF!+E328+#REF!</f>
        <v>#REF!</v>
      </c>
      <c r="F669" s="8" t="e">
        <f>F55+F56+F57+#REF!+#REF!+#REF!+F351+F352+#REF!+F417+#REF!+F328+#REF!</f>
        <v>#REF!</v>
      </c>
      <c r="G669" s="8" t="e">
        <f>G55+G56+G57+#REF!+#REF!+#REF!+G351+G352+#REF!+G417+G328+#REF!</f>
        <v>#REF!</v>
      </c>
      <c r="H669" s="8" t="e">
        <f>H55+#REF!+H351+H352+#REF!+H417+#REF!+H328+#REF!+H581+H63+H60+H415+H485+H188</f>
        <v>#REF!</v>
      </c>
      <c r="I669" s="8" t="e">
        <f>I55+#REF!+I351+I352+#REF!+I417+#REF!+I328+#REF!+I581+I63+I60+I415+I485+I188</f>
        <v>#REF!</v>
      </c>
      <c r="J669" s="8" t="e">
        <f>J55+#REF!+J351+J352+#REF!+J417+#REF!+J328+#REF!+J581+J63+J60+J415+J485+J188</f>
        <v>#REF!</v>
      </c>
      <c r="K669" s="8">
        <f>K670+K671</f>
        <v>10411531</v>
      </c>
      <c r="L669" s="8">
        <f>L670+L671</f>
        <v>7269750</v>
      </c>
      <c r="M669" s="8">
        <f>M670+M671</f>
        <v>0</v>
      </c>
      <c r="N669" s="8">
        <f>N670+N671</f>
        <v>7227750</v>
      </c>
      <c r="O669" s="8">
        <f>O670+O671</f>
        <v>42000</v>
      </c>
      <c r="P669" s="311">
        <f t="shared" si="142"/>
        <v>69.82402492006219</v>
      </c>
      <c r="Q669" s="292">
        <f t="shared" si="144"/>
        <v>0.2983890164967953</v>
      </c>
      <c r="R669" s="293">
        <f t="shared" si="145"/>
        <v>0.22168830199339706</v>
      </c>
    </row>
    <row r="670" spans="1:18" ht="15.75" customHeight="1">
      <c r="A670" s="39"/>
      <c r="B670" s="674" t="s">
        <v>222</v>
      </c>
      <c r="C670" s="675"/>
      <c r="D670" s="285"/>
      <c r="E670" s="8"/>
      <c r="F670" s="8"/>
      <c r="G670" s="8"/>
      <c r="H670" s="8"/>
      <c r="I670" s="212"/>
      <c r="J670" s="8"/>
      <c r="K670" s="8">
        <f>K57+K138+K190</f>
        <v>13880</v>
      </c>
      <c r="L670" s="8">
        <f>L57+L138+L190</f>
        <v>42000</v>
      </c>
      <c r="M670" s="8">
        <f>M57+M138+M190</f>
        <v>0</v>
      </c>
      <c r="N670" s="8">
        <f>N57+N138+N190</f>
        <v>0</v>
      </c>
      <c r="O670" s="8">
        <f>O57+O138+O190</f>
        <v>42000</v>
      </c>
      <c r="P670" s="311">
        <v>0</v>
      </c>
      <c r="Q670" s="292">
        <f t="shared" si="144"/>
        <v>0.00039779351845329166</v>
      </c>
      <c r="R670" s="293">
        <f t="shared" si="145"/>
        <v>0.0012807742609749547</v>
      </c>
    </row>
    <row r="671" spans="1:18" ht="17.25" customHeight="1">
      <c r="A671" s="40"/>
      <c r="B671" s="668" t="s">
        <v>1010</v>
      </c>
      <c r="C671" s="668"/>
      <c r="D671" s="668"/>
      <c r="E671" s="8" t="e">
        <f>E55+E56+E57+#REF!+#REF!+#REF!+E351+E352+#REF!+E417+#REF!+E328+#REF!</f>
        <v>#REF!</v>
      </c>
      <c r="F671" s="8" t="e">
        <f>F55+F56+F57+#REF!+#REF!+#REF!+F351+F352+#REF!+F417+#REF!+F328+#REF!</f>
        <v>#REF!</v>
      </c>
      <c r="G671" s="8" t="e">
        <f>G55+G56+G57+#REF!+#REF!+#REF!+G351+G352+#REF!+G417+#REF!+G328+#REF!</f>
        <v>#REF!</v>
      </c>
      <c r="H671" s="8" t="e">
        <f>H669</f>
        <v>#REF!</v>
      </c>
      <c r="I671" s="212" t="e">
        <f>I669</f>
        <v>#REF!</v>
      </c>
      <c r="J671" s="8" t="e">
        <f>J669</f>
        <v>#REF!</v>
      </c>
      <c r="K671" s="8">
        <f>K55+K56+K58+K59+K93+K139+K217+K221+K265+K328+K413+K414+K415+K427+K428+K485+K486+K564+K583+K623+K624+K625+K647</f>
        <v>10397651</v>
      </c>
      <c r="L671" s="8">
        <f>L55+L56+L58+L59+L93+L139+L217+L221+L265+L328+L413+L414+L415+L427+L428+L485+L486+L564+L583+L623+L624+L625+L647</f>
        <v>7227750</v>
      </c>
      <c r="M671" s="8">
        <f>M55+M56+M58+M59+M93+M139+M217+M221+M265+M328+M413+M414+M415+M427+M428+M485+M486+M564+M583+M623+M624+M625+M647</f>
        <v>0</v>
      </c>
      <c r="N671" s="8">
        <f>N55+N56+N58+N59+N93+N139+N217+N221+N265+N328+N413+N414+N415+N427+N428+N485+N486+N564+N583+N623+N624+N625+N647</f>
        <v>7227750</v>
      </c>
      <c r="O671" s="8">
        <f>O55+O56+O58+O59+O93+O139+O217+O221+O265+O328+O413+O414+O415+O427+O428+O485+O486+O564+O583+O623+O624+O625+O647</f>
        <v>0</v>
      </c>
      <c r="P671" s="311">
        <f>L671/K671*100</f>
        <v>69.51329680136408</v>
      </c>
      <c r="Q671" s="292">
        <f t="shared" si="144"/>
        <v>0.29799122297834196</v>
      </c>
      <c r="R671" s="293">
        <f t="shared" si="145"/>
        <v>0.22040752773242211</v>
      </c>
    </row>
    <row r="672" spans="1:15" ht="14.25" customHeight="1">
      <c r="A672" s="645"/>
      <c r="B672" s="645"/>
      <c r="C672" s="645"/>
      <c r="D672" s="41"/>
      <c r="E672" s="41"/>
      <c r="F672" s="41"/>
      <c r="G672" s="41"/>
      <c r="H672" s="41"/>
      <c r="I672" s="41" t="s">
        <v>302</v>
      </c>
      <c r="J672" t="s">
        <v>404</v>
      </c>
      <c r="M672" s="41"/>
      <c r="N672" s="41"/>
      <c r="O672" s="238"/>
    </row>
    <row r="673" spans="1:10" ht="12.75" customHeight="1" hidden="1">
      <c r="A673" s="646"/>
      <c r="B673" s="646"/>
      <c r="C673" s="646"/>
      <c r="I673" t="s">
        <v>73</v>
      </c>
      <c r="J673" s="41"/>
    </row>
    <row r="674" spans="5:12" ht="12.75">
      <c r="E674" s="42"/>
      <c r="F674" s="42"/>
      <c r="G674" s="42"/>
      <c r="H674" s="42"/>
      <c r="I674" s="42"/>
      <c r="J674" s="41"/>
      <c r="K674" s="42"/>
      <c r="L674" s="42"/>
    </row>
    <row r="675" ht="12.75">
      <c r="J675" s="41"/>
    </row>
    <row r="676" ht="12.75">
      <c r="J676" s="41"/>
    </row>
  </sheetData>
  <autoFilter ref="K1:K676"/>
  <mergeCells count="36">
    <mergeCell ref="A356:A359"/>
    <mergeCell ref="A434:A438"/>
    <mergeCell ref="B671:D671"/>
    <mergeCell ref="B665:D665"/>
    <mergeCell ref="B666:D666"/>
    <mergeCell ref="B668:D668"/>
    <mergeCell ref="B667:D667"/>
    <mergeCell ref="B664:D664"/>
    <mergeCell ref="B669:D669"/>
    <mergeCell ref="B670:C670"/>
    <mergeCell ref="B31:B32"/>
    <mergeCell ref="L4:L7"/>
    <mergeCell ref="B663:C663"/>
    <mergeCell ref="I5:I7"/>
    <mergeCell ref="K4:K7"/>
    <mergeCell ref="C4:C7"/>
    <mergeCell ref="A672:C673"/>
    <mergeCell ref="B4:B7"/>
    <mergeCell ref="A4:A7"/>
    <mergeCell ref="J5:J7"/>
    <mergeCell ref="I4:J4"/>
    <mergeCell ref="H4:H7"/>
    <mergeCell ref="A13:A24"/>
    <mergeCell ref="A495:A499"/>
    <mergeCell ref="G5:G7"/>
    <mergeCell ref="B9:B10"/>
    <mergeCell ref="P4:P7"/>
    <mergeCell ref="Q4:R6"/>
    <mergeCell ref="M1:O1"/>
    <mergeCell ref="P2:V2"/>
    <mergeCell ref="B2:O2"/>
    <mergeCell ref="C3:O3"/>
    <mergeCell ref="E5:E7"/>
    <mergeCell ref="D5:D7"/>
    <mergeCell ref="F5:F7"/>
    <mergeCell ref="M4:O6"/>
  </mergeCells>
  <printOptions/>
  <pageMargins left="0.984251968503937" right="0.7874015748031497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workbookViewId="0" topLeftCell="A1">
      <selection activeCell="E123" sqref="E123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5.875" style="0" customWidth="1"/>
    <col min="4" max="4" width="30.00390625" style="0" customWidth="1"/>
    <col min="5" max="5" width="16.625" style="0" customWidth="1"/>
    <col min="6" max="6" width="10.75390625" style="0" customWidth="1"/>
    <col min="7" max="7" width="14.75390625" style="0" customWidth="1"/>
  </cols>
  <sheetData>
    <row r="1" spans="5:7" ht="40.5" customHeight="1">
      <c r="E1" s="571" t="s">
        <v>546</v>
      </c>
      <c r="F1" s="571"/>
      <c r="G1" s="571"/>
    </row>
    <row r="2" ht="3" customHeight="1" hidden="1"/>
    <row r="3" ht="12.75" hidden="1"/>
    <row r="4" ht="12.75" hidden="1"/>
    <row r="5" spans="1:7" ht="31.5" customHeight="1">
      <c r="A5" s="689" t="s">
        <v>339</v>
      </c>
      <c r="B5" s="689"/>
      <c r="C5" s="689"/>
      <c r="D5" s="689"/>
      <c r="E5" s="689"/>
      <c r="F5" s="689"/>
      <c r="G5" s="689"/>
    </row>
    <row r="6" ht="13.5" thickBot="1"/>
    <row r="7" spans="1:7" ht="13.5" thickBot="1">
      <c r="A7" s="684" t="s">
        <v>805</v>
      </c>
      <c r="B7" s="685"/>
      <c r="C7" s="686"/>
      <c r="D7" s="680" t="s">
        <v>806</v>
      </c>
      <c r="E7" s="687" t="s">
        <v>807</v>
      </c>
      <c r="F7" s="682" t="s">
        <v>808</v>
      </c>
      <c r="G7" s="678" t="s">
        <v>809</v>
      </c>
    </row>
    <row r="8" spans="1:7" ht="90.75" customHeight="1">
      <c r="A8" s="14" t="s">
        <v>810</v>
      </c>
      <c r="B8" s="14" t="s">
        <v>811</v>
      </c>
      <c r="C8" s="43" t="s">
        <v>446</v>
      </c>
      <c r="D8" s="681"/>
      <c r="E8" s="688"/>
      <c r="F8" s="683"/>
      <c r="G8" s="679"/>
    </row>
    <row r="9" spans="1:7" ht="12.75">
      <c r="A9" s="523">
        <v>1</v>
      </c>
      <c r="B9" s="103">
        <v>2</v>
      </c>
      <c r="C9" s="103">
        <v>3</v>
      </c>
      <c r="D9" s="85">
        <v>4</v>
      </c>
      <c r="E9" s="47">
        <v>5</v>
      </c>
      <c r="F9" s="47">
        <v>6</v>
      </c>
      <c r="G9" s="47">
        <v>7</v>
      </c>
    </row>
    <row r="10" spans="1:8" ht="17.25" customHeight="1">
      <c r="A10" s="524" t="s">
        <v>812</v>
      </c>
      <c r="B10" s="524"/>
      <c r="C10" s="524"/>
      <c r="D10" s="524" t="s">
        <v>813</v>
      </c>
      <c r="E10" s="516">
        <v>0</v>
      </c>
      <c r="F10" s="516">
        <v>0</v>
      </c>
      <c r="G10" s="516">
        <f>G11+G12</f>
        <v>138608</v>
      </c>
      <c r="H10" t="s">
        <v>330</v>
      </c>
    </row>
    <row r="11" spans="1:7" ht="12.75">
      <c r="A11" s="519" t="s">
        <v>456</v>
      </c>
      <c r="B11" s="519" t="s">
        <v>204</v>
      </c>
      <c r="C11" s="519" t="s">
        <v>205</v>
      </c>
      <c r="D11" s="520" t="s">
        <v>206</v>
      </c>
      <c r="E11" s="423">
        <v>0</v>
      </c>
      <c r="F11" s="423">
        <v>0</v>
      </c>
      <c r="G11" s="423">
        <v>608</v>
      </c>
    </row>
    <row r="12" spans="1:7" ht="25.5">
      <c r="A12" s="520">
        <v>700</v>
      </c>
      <c r="B12" s="520">
        <v>70005</v>
      </c>
      <c r="C12" s="520">
        <v>2350</v>
      </c>
      <c r="D12" s="521" t="s">
        <v>522</v>
      </c>
      <c r="E12" s="423">
        <v>0</v>
      </c>
      <c r="F12" s="423">
        <v>0</v>
      </c>
      <c r="G12" s="423">
        <v>138000</v>
      </c>
    </row>
    <row r="13" spans="1:7" ht="12.75">
      <c r="A13" s="524" t="s">
        <v>815</v>
      </c>
      <c r="B13" s="676" t="s">
        <v>816</v>
      </c>
      <c r="C13" s="676"/>
      <c r="D13" s="676"/>
      <c r="E13" s="676"/>
      <c r="F13" s="676"/>
      <c r="G13" s="524"/>
    </row>
    <row r="14" spans="1:7" ht="38.25">
      <c r="A14" s="517" t="s">
        <v>456</v>
      </c>
      <c r="B14" s="517" t="s">
        <v>499</v>
      </c>
      <c r="C14" s="517" t="s">
        <v>651</v>
      </c>
      <c r="D14" s="518" t="s">
        <v>818</v>
      </c>
      <c r="E14" s="430">
        <f>'Z 1'!T214</f>
        <v>30000</v>
      </c>
      <c r="F14" s="430">
        <f>F15</f>
        <v>30000</v>
      </c>
      <c r="G14" s="423">
        <v>0</v>
      </c>
    </row>
    <row r="15" spans="1:7" ht="12.75">
      <c r="A15" s="28"/>
      <c r="B15" s="28"/>
      <c r="C15" s="28" t="s">
        <v>491</v>
      </c>
      <c r="D15" s="11" t="s">
        <v>586</v>
      </c>
      <c r="E15" s="8">
        <v>0</v>
      </c>
      <c r="F15" s="8">
        <v>30000</v>
      </c>
      <c r="G15" s="24">
        <v>0</v>
      </c>
    </row>
    <row r="16" spans="1:7" ht="12.75" hidden="1">
      <c r="A16" s="17" t="s">
        <v>456</v>
      </c>
      <c r="B16" s="17" t="s">
        <v>459</v>
      </c>
      <c r="C16" s="17" t="s">
        <v>817</v>
      </c>
      <c r="D16" s="7" t="s">
        <v>842</v>
      </c>
      <c r="E16" s="7" t="e">
        <f>'Z 1'!#REF!</f>
        <v>#REF!</v>
      </c>
      <c r="F16" s="7">
        <f>F17+F18+F19+F20+F22+F21+F23+F24+F25+F26+F27+F28</f>
        <v>0</v>
      </c>
      <c r="G16" s="19">
        <v>0</v>
      </c>
    </row>
    <row r="17" spans="1:7" ht="25.5" hidden="1">
      <c r="A17" s="28"/>
      <c r="B17" s="28"/>
      <c r="C17" s="28" t="s">
        <v>475</v>
      </c>
      <c r="D17" s="11" t="s">
        <v>476</v>
      </c>
      <c r="E17" s="8">
        <v>0</v>
      </c>
      <c r="F17" s="8">
        <v>0</v>
      </c>
      <c r="G17" s="24">
        <v>0</v>
      </c>
    </row>
    <row r="18" spans="1:7" ht="25.5" hidden="1">
      <c r="A18" s="28"/>
      <c r="B18" s="28"/>
      <c r="C18" s="28" t="s">
        <v>477</v>
      </c>
      <c r="D18" s="11" t="s">
        <v>478</v>
      </c>
      <c r="E18" s="8">
        <v>0</v>
      </c>
      <c r="F18" s="8">
        <v>0</v>
      </c>
      <c r="G18" s="24">
        <v>0</v>
      </c>
    </row>
    <row r="19" spans="1:7" ht="12.75" hidden="1">
      <c r="A19" s="28"/>
      <c r="B19" s="28"/>
      <c r="C19" s="28" t="s">
        <v>479</v>
      </c>
      <c r="D19" s="8" t="s">
        <v>843</v>
      </c>
      <c r="E19" s="8">
        <v>0</v>
      </c>
      <c r="F19" s="8">
        <v>0</v>
      </c>
      <c r="G19" s="24">
        <v>0</v>
      </c>
    </row>
    <row r="20" spans="1:7" ht="12.75" hidden="1">
      <c r="A20" s="28"/>
      <c r="B20" s="28"/>
      <c r="C20" s="64" t="s">
        <v>508</v>
      </c>
      <c r="D20" s="11" t="s">
        <v>844</v>
      </c>
      <c r="E20" s="8">
        <v>0</v>
      </c>
      <c r="F20" s="8">
        <v>0</v>
      </c>
      <c r="G20" s="24">
        <v>0</v>
      </c>
    </row>
    <row r="21" spans="1:7" ht="12.75" hidden="1">
      <c r="A21" s="28"/>
      <c r="B21" s="28"/>
      <c r="C21" s="64" t="s">
        <v>483</v>
      </c>
      <c r="D21" s="11" t="s">
        <v>484</v>
      </c>
      <c r="E21" s="8">
        <v>0</v>
      </c>
      <c r="F21" s="8">
        <v>0</v>
      </c>
      <c r="G21" s="24">
        <v>0</v>
      </c>
    </row>
    <row r="22" spans="1:7" ht="12.75" hidden="1">
      <c r="A22" s="28"/>
      <c r="B22" s="28"/>
      <c r="C22" s="33">
        <v>4210</v>
      </c>
      <c r="D22" s="28" t="s">
        <v>486</v>
      </c>
      <c r="E22" s="8">
        <v>0</v>
      </c>
      <c r="F22" s="8">
        <v>0</v>
      </c>
      <c r="G22" s="24">
        <v>0</v>
      </c>
    </row>
    <row r="23" spans="1:7" ht="12.75" hidden="1">
      <c r="A23" s="28"/>
      <c r="B23" s="28"/>
      <c r="C23" s="33">
        <v>4260</v>
      </c>
      <c r="D23" s="28" t="s">
        <v>584</v>
      </c>
      <c r="E23" s="8">
        <v>0</v>
      </c>
      <c r="F23" s="8">
        <v>0</v>
      </c>
      <c r="G23" s="24">
        <v>0</v>
      </c>
    </row>
    <row r="24" spans="1:7" ht="12.75" hidden="1">
      <c r="A24" s="28"/>
      <c r="B24" s="28"/>
      <c r="C24" s="33">
        <v>4270</v>
      </c>
      <c r="D24" s="28" t="s">
        <v>585</v>
      </c>
      <c r="E24" s="8">
        <v>0</v>
      </c>
      <c r="F24" s="8">
        <v>0</v>
      </c>
      <c r="G24" s="24">
        <v>0</v>
      </c>
    </row>
    <row r="25" spans="1:7" ht="12.75" hidden="1">
      <c r="A25" s="28"/>
      <c r="B25" s="28"/>
      <c r="C25" s="33">
        <v>4300</v>
      </c>
      <c r="D25" s="28" t="s">
        <v>586</v>
      </c>
      <c r="E25" s="8">
        <v>0</v>
      </c>
      <c r="F25" s="8">
        <v>0</v>
      </c>
      <c r="G25" s="24">
        <v>0</v>
      </c>
    </row>
    <row r="26" spans="1:7" ht="12.75" hidden="1">
      <c r="A26" s="28"/>
      <c r="B26" s="28"/>
      <c r="C26" s="33">
        <v>4410</v>
      </c>
      <c r="D26" s="28" t="s">
        <v>494</v>
      </c>
      <c r="E26" s="8">
        <v>0</v>
      </c>
      <c r="F26" s="8">
        <v>0</v>
      </c>
      <c r="G26" s="24">
        <v>0</v>
      </c>
    </row>
    <row r="27" spans="1:7" ht="12.75" hidden="1">
      <c r="A27" s="28"/>
      <c r="B27" s="28"/>
      <c r="C27" s="33">
        <v>4430</v>
      </c>
      <c r="D27" s="28" t="s">
        <v>496</v>
      </c>
      <c r="E27" s="8">
        <v>0</v>
      </c>
      <c r="F27" s="8">
        <v>0</v>
      </c>
      <c r="G27" s="24">
        <v>0</v>
      </c>
    </row>
    <row r="28" spans="1:7" ht="12.75" hidden="1">
      <c r="A28" s="28"/>
      <c r="B28" s="28"/>
      <c r="C28" s="33">
        <v>4440</v>
      </c>
      <c r="D28" s="28" t="s">
        <v>498</v>
      </c>
      <c r="E28" s="8">
        <v>0</v>
      </c>
      <c r="F28" s="8">
        <v>0</v>
      </c>
      <c r="G28" s="24">
        <v>0</v>
      </c>
    </row>
    <row r="29" spans="1:7" ht="15.75" customHeight="1" hidden="1">
      <c r="A29" s="17" t="s">
        <v>500</v>
      </c>
      <c r="B29" s="17" t="s">
        <v>502</v>
      </c>
      <c r="C29" s="17" t="s">
        <v>817</v>
      </c>
      <c r="D29" s="7" t="s">
        <v>503</v>
      </c>
      <c r="E29" s="7">
        <v>0</v>
      </c>
      <c r="F29" s="7">
        <f>F30</f>
        <v>0</v>
      </c>
      <c r="G29" s="19">
        <v>0</v>
      </c>
    </row>
    <row r="30" spans="1:7" ht="15" customHeight="1" hidden="1">
      <c r="A30" s="28"/>
      <c r="B30" s="28"/>
      <c r="C30" s="28"/>
      <c r="D30" s="8" t="s">
        <v>626</v>
      </c>
      <c r="E30" s="8"/>
      <c r="F30" s="8">
        <v>0</v>
      </c>
      <c r="G30" s="24">
        <v>0</v>
      </c>
    </row>
    <row r="31" spans="1:7" ht="25.5">
      <c r="A31" s="517" t="s">
        <v>519</v>
      </c>
      <c r="B31" s="517" t="s">
        <v>521</v>
      </c>
      <c r="C31" s="517" t="s">
        <v>651</v>
      </c>
      <c r="D31" s="518" t="s">
        <v>522</v>
      </c>
      <c r="E31" s="430">
        <f>'Z 1'!T216</f>
        <v>62000</v>
      </c>
      <c r="F31" s="430">
        <f>F32+F33+F34+F35+F37+F38+F36</f>
        <v>62000</v>
      </c>
      <c r="G31" s="430">
        <v>0</v>
      </c>
    </row>
    <row r="32" spans="1:7" ht="12.75">
      <c r="A32" s="17"/>
      <c r="B32" s="17"/>
      <c r="C32" s="30" t="s">
        <v>256</v>
      </c>
      <c r="D32" s="29" t="s">
        <v>257</v>
      </c>
      <c r="E32" s="20">
        <v>0</v>
      </c>
      <c r="F32" s="20">
        <v>800</v>
      </c>
      <c r="G32" s="7">
        <v>0</v>
      </c>
    </row>
    <row r="33" spans="1:7" ht="12.75">
      <c r="A33" s="30"/>
      <c r="B33" s="30"/>
      <c r="C33" s="30" t="s">
        <v>487</v>
      </c>
      <c r="D33" s="29" t="s">
        <v>584</v>
      </c>
      <c r="E33" s="20">
        <v>0</v>
      </c>
      <c r="F33" s="20">
        <f>'Z 2'!M67</f>
        <v>3930</v>
      </c>
      <c r="G33" s="20">
        <v>0</v>
      </c>
    </row>
    <row r="34" spans="1:7" ht="12.75">
      <c r="A34" s="17"/>
      <c r="B34" s="17"/>
      <c r="C34" s="30" t="s">
        <v>491</v>
      </c>
      <c r="D34" s="29" t="s">
        <v>586</v>
      </c>
      <c r="E34" s="20">
        <v>0</v>
      </c>
      <c r="F34" s="20">
        <f>'Z 2'!M68</f>
        <v>42670</v>
      </c>
      <c r="G34" s="21">
        <v>0</v>
      </c>
    </row>
    <row r="35" spans="1:7" ht="12.75">
      <c r="A35" s="17"/>
      <c r="B35" s="17"/>
      <c r="C35" s="30" t="s">
        <v>513</v>
      </c>
      <c r="D35" s="29" t="s">
        <v>514</v>
      </c>
      <c r="E35" s="20">
        <v>0</v>
      </c>
      <c r="F35" s="20">
        <v>9600</v>
      </c>
      <c r="G35" s="21">
        <v>0</v>
      </c>
    </row>
    <row r="36" spans="1:7" ht="12.75">
      <c r="A36" s="17"/>
      <c r="B36" s="17"/>
      <c r="C36" s="30" t="s">
        <v>560</v>
      </c>
      <c r="D36" s="29" t="s">
        <v>569</v>
      </c>
      <c r="E36" s="20">
        <v>0</v>
      </c>
      <c r="F36" s="20">
        <v>5000</v>
      </c>
      <c r="G36" s="21">
        <v>0</v>
      </c>
    </row>
    <row r="37" spans="1:7" ht="12.75" hidden="1">
      <c r="A37" s="17"/>
      <c r="B37" s="17"/>
      <c r="C37" s="30" t="s">
        <v>384</v>
      </c>
      <c r="D37" s="29" t="s">
        <v>94</v>
      </c>
      <c r="E37" s="20">
        <v>0</v>
      </c>
      <c r="F37" s="20">
        <v>0</v>
      </c>
      <c r="G37" s="21">
        <v>0</v>
      </c>
    </row>
    <row r="38" spans="1:7" ht="12.75" hidden="1">
      <c r="A38" s="17"/>
      <c r="B38" s="17"/>
      <c r="C38" s="30" t="s">
        <v>727</v>
      </c>
      <c r="D38" s="29" t="s">
        <v>385</v>
      </c>
      <c r="E38" s="20">
        <v>0</v>
      </c>
      <c r="F38" s="20">
        <v>0</v>
      </c>
      <c r="G38" s="21">
        <v>0</v>
      </c>
    </row>
    <row r="39" spans="1:7" ht="38.25">
      <c r="A39" s="517" t="s">
        <v>524</v>
      </c>
      <c r="B39" s="517" t="s">
        <v>526</v>
      </c>
      <c r="C39" s="517" t="s">
        <v>651</v>
      </c>
      <c r="D39" s="518" t="s">
        <v>527</v>
      </c>
      <c r="E39" s="430">
        <f>'Z 1'!T218</f>
        <v>40000</v>
      </c>
      <c r="F39" s="430">
        <f>F40</f>
        <v>40000</v>
      </c>
      <c r="G39" s="423">
        <v>0</v>
      </c>
    </row>
    <row r="40" spans="1:7" ht="12.75">
      <c r="A40" s="17"/>
      <c r="B40" s="17"/>
      <c r="C40" s="30" t="s">
        <v>491</v>
      </c>
      <c r="D40" s="29" t="s">
        <v>586</v>
      </c>
      <c r="E40" s="20">
        <v>0</v>
      </c>
      <c r="F40" s="20">
        <f>'Z 2'!M77</f>
        <v>40000</v>
      </c>
      <c r="G40" s="19">
        <v>0</v>
      </c>
    </row>
    <row r="41" spans="1:7" ht="25.5">
      <c r="A41" s="517" t="s">
        <v>524</v>
      </c>
      <c r="B41" s="517" t="s">
        <v>528</v>
      </c>
      <c r="C41" s="517" t="s">
        <v>651</v>
      </c>
      <c r="D41" s="518" t="s">
        <v>529</v>
      </c>
      <c r="E41" s="430">
        <f>'Z 1'!T219</f>
        <v>22000</v>
      </c>
      <c r="F41" s="430">
        <f>F42</f>
        <v>22000</v>
      </c>
      <c r="G41" s="423">
        <v>0</v>
      </c>
    </row>
    <row r="42" spans="1:7" ht="12.75">
      <c r="A42" s="30"/>
      <c r="B42" s="30"/>
      <c r="C42" s="30" t="s">
        <v>491</v>
      </c>
      <c r="D42" s="29" t="s">
        <v>586</v>
      </c>
      <c r="E42" s="20">
        <v>0</v>
      </c>
      <c r="F42" s="20">
        <f>'Z 2'!M79</f>
        <v>22000</v>
      </c>
      <c r="G42" s="21">
        <v>0</v>
      </c>
    </row>
    <row r="43" spans="1:7" ht="12.75">
      <c r="A43" s="517" t="s">
        <v>524</v>
      </c>
      <c r="B43" s="517" t="s">
        <v>530</v>
      </c>
      <c r="C43" s="517" t="s">
        <v>651</v>
      </c>
      <c r="D43" s="430" t="s">
        <v>531</v>
      </c>
      <c r="E43" s="430">
        <f>'Z 1'!T220</f>
        <v>181547</v>
      </c>
      <c r="F43" s="430">
        <f>F44+F46+F47+F49+F48+F50+F51+F52+F53+F54+F45</f>
        <v>181547</v>
      </c>
      <c r="G43" s="423">
        <v>0</v>
      </c>
    </row>
    <row r="44" spans="1:7" ht="25.5">
      <c r="A44" s="28"/>
      <c r="B44" s="17"/>
      <c r="C44" s="30" t="s">
        <v>475</v>
      </c>
      <c r="D44" s="29" t="s">
        <v>476</v>
      </c>
      <c r="E44" s="20">
        <v>0</v>
      </c>
      <c r="F44" s="20">
        <f>'Z 2'!M81</f>
        <v>49200</v>
      </c>
      <c r="G44" s="21">
        <v>0</v>
      </c>
    </row>
    <row r="45" spans="1:7" ht="25.5">
      <c r="A45" s="28"/>
      <c r="B45" s="17"/>
      <c r="C45" s="30" t="s">
        <v>477</v>
      </c>
      <c r="D45" s="11" t="s">
        <v>478</v>
      </c>
      <c r="E45" s="20">
        <v>0</v>
      </c>
      <c r="F45" s="20">
        <f>'Z 2'!M82</f>
        <v>78200</v>
      </c>
      <c r="G45" s="21">
        <v>0</v>
      </c>
    </row>
    <row r="46" spans="1:7" ht="12.75">
      <c r="A46" s="28"/>
      <c r="B46" s="17"/>
      <c r="C46" s="30" t="s">
        <v>479</v>
      </c>
      <c r="D46" s="20" t="s">
        <v>843</v>
      </c>
      <c r="E46" s="20">
        <v>0</v>
      </c>
      <c r="F46" s="20">
        <f>'Z 2'!M83</f>
        <v>8864</v>
      </c>
      <c r="G46" s="21">
        <v>0</v>
      </c>
    </row>
    <row r="47" spans="1:7" ht="12.75">
      <c r="A47" s="28"/>
      <c r="B47" s="17"/>
      <c r="C47" s="232" t="s">
        <v>508</v>
      </c>
      <c r="D47" s="29" t="s">
        <v>554</v>
      </c>
      <c r="E47" s="20">
        <v>0</v>
      </c>
      <c r="F47" s="20">
        <f>'Z 2'!M84</f>
        <v>24786</v>
      </c>
      <c r="G47" s="21">
        <v>0</v>
      </c>
    </row>
    <row r="48" spans="1:7" ht="13.5" customHeight="1">
      <c r="A48" s="28"/>
      <c r="B48" s="17"/>
      <c r="C48" s="232" t="s">
        <v>483</v>
      </c>
      <c r="D48" s="29" t="s">
        <v>484</v>
      </c>
      <c r="E48" s="20">
        <v>0</v>
      </c>
      <c r="F48" s="20">
        <f>'Z 2'!M85</f>
        <v>3338</v>
      </c>
      <c r="G48" s="21">
        <v>0</v>
      </c>
    </row>
    <row r="49" spans="1:7" ht="15" customHeight="1">
      <c r="A49" s="28"/>
      <c r="B49" s="17"/>
      <c r="C49" s="30" t="s">
        <v>485</v>
      </c>
      <c r="D49" s="20" t="s">
        <v>486</v>
      </c>
      <c r="E49" s="20">
        <v>0</v>
      </c>
      <c r="F49" s="20">
        <f>'Z 2'!M87</f>
        <v>3000</v>
      </c>
      <c r="G49" s="21">
        <v>0</v>
      </c>
    </row>
    <row r="50" spans="1:7" ht="15" customHeight="1">
      <c r="A50" s="28"/>
      <c r="B50" s="17"/>
      <c r="C50" s="30" t="s">
        <v>487</v>
      </c>
      <c r="D50" s="29" t="s">
        <v>584</v>
      </c>
      <c r="E50" s="20">
        <v>0</v>
      </c>
      <c r="F50" s="20">
        <v>4700</v>
      </c>
      <c r="G50" s="21">
        <v>0</v>
      </c>
    </row>
    <row r="51" spans="1:7" ht="15" customHeight="1">
      <c r="A51" s="28"/>
      <c r="B51" s="17"/>
      <c r="C51" s="30" t="s">
        <v>491</v>
      </c>
      <c r="D51" s="20" t="s">
        <v>586</v>
      </c>
      <c r="E51" s="20">
        <v>0</v>
      </c>
      <c r="F51" s="20">
        <f>'Z 2'!M89</f>
        <v>4125</v>
      </c>
      <c r="G51" s="21">
        <v>0</v>
      </c>
    </row>
    <row r="52" spans="1:7" ht="15" customHeight="1">
      <c r="A52" s="28"/>
      <c r="B52" s="17"/>
      <c r="C52" s="30" t="s">
        <v>493</v>
      </c>
      <c r="D52" s="20" t="s">
        <v>494</v>
      </c>
      <c r="E52" s="20">
        <v>0</v>
      </c>
      <c r="F52" s="20">
        <f>'Z 2'!M90</f>
        <v>500</v>
      </c>
      <c r="G52" s="21">
        <v>0</v>
      </c>
    </row>
    <row r="53" spans="1:7" ht="15" customHeight="1">
      <c r="A53" s="28"/>
      <c r="B53" s="17"/>
      <c r="C53" s="30" t="s">
        <v>495</v>
      </c>
      <c r="D53" s="20" t="s">
        <v>652</v>
      </c>
      <c r="E53" s="20">
        <v>0</v>
      </c>
      <c r="F53" s="20">
        <v>2200</v>
      </c>
      <c r="G53" s="21">
        <v>0</v>
      </c>
    </row>
    <row r="54" spans="1:7" ht="15" customHeight="1">
      <c r="A54" s="28"/>
      <c r="B54" s="17"/>
      <c r="C54" s="30" t="s">
        <v>497</v>
      </c>
      <c r="D54" s="20" t="s">
        <v>498</v>
      </c>
      <c r="E54" s="20">
        <v>0</v>
      </c>
      <c r="F54" s="20">
        <f>'Z 2'!M92</f>
        <v>2634</v>
      </c>
      <c r="G54" s="21">
        <v>0</v>
      </c>
    </row>
    <row r="55" spans="1:7" ht="12.75">
      <c r="A55" s="517" t="s">
        <v>533</v>
      </c>
      <c r="B55" s="517" t="s">
        <v>535</v>
      </c>
      <c r="C55" s="517" t="s">
        <v>651</v>
      </c>
      <c r="D55" s="430" t="s">
        <v>536</v>
      </c>
      <c r="E55" s="430">
        <f>'Z 1'!T223</f>
        <v>102748</v>
      </c>
      <c r="F55" s="430">
        <f>F56+F57+F58+F59+F60+F61+F62+F63+F64</f>
        <v>102748</v>
      </c>
      <c r="G55" s="423">
        <v>0</v>
      </c>
    </row>
    <row r="56" spans="1:7" ht="25.5">
      <c r="A56" s="28"/>
      <c r="B56" s="17"/>
      <c r="C56" s="30" t="s">
        <v>475</v>
      </c>
      <c r="D56" s="29" t="s">
        <v>476</v>
      </c>
      <c r="E56" s="20">
        <v>0</v>
      </c>
      <c r="F56" s="20">
        <f>'Z 2'!M97</f>
        <v>70400</v>
      </c>
      <c r="G56" s="21">
        <v>0</v>
      </c>
    </row>
    <row r="57" spans="1:7" ht="12.75">
      <c r="A57" s="28"/>
      <c r="B57" s="17"/>
      <c r="C57" s="30" t="s">
        <v>479</v>
      </c>
      <c r="D57" s="20" t="s">
        <v>843</v>
      </c>
      <c r="E57" s="20">
        <v>0</v>
      </c>
      <c r="F57" s="20">
        <f>'Z 2'!M98</f>
        <v>4712</v>
      </c>
      <c r="G57" s="21">
        <v>0</v>
      </c>
    </row>
    <row r="58" spans="1:7" ht="12.75">
      <c r="A58" s="28"/>
      <c r="B58" s="17"/>
      <c r="C58" s="232" t="s">
        <v>508</v>
      </c>
      <c r="D58" s="29" t="s">
        <v>554</v>
      </c>
      <c r="E58" s="20">
        <v>0</v>
      </c>
      <c r="F58" s="20">
        <f>'Z 2'!M99</f>
        <v>12942</v>
      </c>
      <c r="G58" s="21">
        <v>0</v>
      </c>
    </row>
    <row r="59" spans="1:7" ht="12.75">
      <c r="A59" s="28"/>
      <c r="B59" s="17"/>
      <c r="C59" s="232" t="s">
        <v>483</v>
      </c>
      <c r="D59" s="29" t="s">
        <v>484</v>
      </c>
      <c r="E59" s="20">
        <v>0</v>
      </c>
      <c r="F59" s="20">
        <f>'Z 2'!M100</f>
        <v>1840</v>
      </c>
      <c r="G59" s="21">
        <v>0</v>
      </c>
    </row>
    <row r="60" spans="1:7" ht="12.75">
      <c r="A60" s="28"/>
      <c r="B60" s="17"/>
      <c r="C60" s="232" t="s">
        <v>256</v>
      </c>
      <c r="D60" s="29" t="s">
        <v>257</v>
      </c>
      <c r="E60" s="20">
        <v>0</v>
      </c>
      <c r="F60" s="20">
        <v>7160</v>
      </c>
      <c r="G60" s="21">
        <v>0</v>
      </c>
    </row>
    <row r="61" spans="1:7" ht="12.75">
      <c r="A61" s="28"/>
      <c r="B61" s="17"/>
      <c r="C61" s="30" t="s">
        <v>485</v>
      </c>
      <c r="D61" s="20" t="s">
        <v>486</v>
      </c>
      <c r="E61" s="20">
        <v>0</v>
      </c>
      <c r="F61" s="20">
        <v>1060</v>
      </c>
      <c r="G61" s="21">
        <v>0</v>
      </c>
    </row>
    <row r="62" spans="1:7" ht="12.75">
      <c r="A62" s="28"/>
      <c r="B62" s="17"/>
      <c r="C62" s="30" t="s">
        <v>491</v>
      </c>
      <c r="D62" s="20" t="s">
        <v>586</v>
      </c>
      <c r="E62" s="20">
        <v>0</v>
      </c>
      <c r="F62" s="20">
        <v>1400</v>
      </c>
      <c r="G62" s="21">
        <v>0</v>
      </c>
    </row>
    <row r="63" spans="1:7" ht="12.75">
      <c r="A63" s="28"/>
      <c r="B63" s="17"/>
      <c r="C63" s="30" t="s">
        <v>493</v>
      </c>
      <c r="D63" s="20" t="s">
        <v>494</v>
      </c>
      <c r="E63" s="20">
        <v>0</v>
      </c>
      <c r="F63" s="20">
        <v>600</v>
      </c>
      <c r="G63" s="21">
        <v>0</v>
      </c>
    </row>
    <row r="64" spans="1:7" ht="12.75">
      <c r="A64" s="28"/>
      <c r="B64" s="17"/>
      <c r="C64" s="30" t="s">
        <v>497</v>
      </c>
      <c r="D64" s="20" t="s">
        <v>498</v>
      </c>
      <c r="E64" s="20">
        <v>0</v>
      </c>
      <c r="F64" s="20">
        <v>2634</v>
      </c>
      <c r="G64" s="21">
        <v>0</v>
      </c>
    </row>
    <row r="65" spans="1:7" ht="15.75" customHeight="1">
      <c r="A65" s="517" t="s">
        <v>533</v>
      </c>
      <c r="B65" s="517" t="s">
        <v>552</v>
      </c>
      <c r="C65" s="517" t="s">
        <v>651</v>
      </c>
      <c r="D65" s="430" t="s">
        <v>553</v>
      </c>
      <c r="E65" s="430">
        <f>'Z 1'!T224</f>
        <v>13000</v>
      </c>
      <c r="F65" s="430">
        <f>F66+F67+F68+F69+F70+F71+F72</f>
        <v>13000</v>
      </c>
      <c r="G65" s="423">
        <v>0</v>
      </c>
    </row>
    <row r="66" spans="1:7" ht="15.75" customHeight="1">
      <c r="A66" s="17"/>
      <c r="B66" s="17"/>
      <c r="C66" s="30" t="s">
        <v>473</v>
      </c>
      <c r="D66" s="20" t="s">
        <v>863</v>
      </c>
      <c r="E66" s="20">
        <v>0</v>
      </c>
      <c r="F66" s="20">
        <f>'Z 2'!M141</f>
        <v>6300</v>
      </c>
      <c r="G66" s="21">
        <v>0</v>
      </c>
    </row>
    <row r="67" spans="1:7" ht="15.75" customHeight="1">
      <c r="A67" s="17"/>
      <c r="B67" s="17"/>
      <c r="C67" s="30" t="s">
        <v>508</v>
      </c>
      <c r="D67" s="20" t="s">
        <v>554</v>
      </c>
      <c r="E67" s="20">
        <v>0</v>
      </c>
      <c r="F67" s="20">
        <f>'Z 2'!M142</f>
        <v>560</v>
      </c>
      <c r="G67" s="21">
        <v>0</v>
      </c>
    </row>
    <row r="68" spans="1:7" ht="15.75" customHeight="1">
      <c r="A68" s="17"/>
      <c r="B68" s="17"/>
      <c r="C68" s="30" t="s">
        <v>483</v>
      </c>
      <c r="D68" s="20" t="s">
        <v>484</v>
      </c>
      <c r="E68" s="20">
        <v>0</v>
      </c>
      <c r="F68" s="20">
        <f>'Z 2'!M143</f>
        <v>80</v>
      </c>
      <c r="G68" s="21">
        <v>0</v>
      </c>
    </row>
    <row r="69" spans="1:7" ht="15.75" customHeight="1">
      <c r="A69" s="17"/>
      <c r="B69" s="17"/>
      <c r="C69" s="30" t="s">
        <v>256</v>
      </c>
      <c r="D69" s="20" t="s">
        <v>257</v>
      </c>
      <c r="E69" s="20">
        <v>0</v>
      </c>
      <c r="F69" s="20">
        <v>4150</v>
      </c>
      <c r="G69" s="21">
        <v>0</v>
      </c>
    </row>
    <row r="70" spans="1:7" ht="15.75" customHeight="1">
      <c r="A70" s="17"/>
      <c r="B70" s="17"/>
      <c r="C70" s="30" t="s">
        <v>485</v>
      </c>
      <c r="D70" s="20" t="s">
        <v>486</v>
      </c>
      <c r="E70" s="20">
        <v>0</v>
      </c>
      <c r="F70" s="20">
        <f>'Z 2'!M146</f>
        <v>810</v>
      </c>
      <c r="G70" s="21">
        <v>0</v>
      </c>
    </row>
    <row r="71" spans="1:7" ht="15.75" customHeight="1">
      <c r="A71" s="17"/>
      <c r="B71" s="17"/>
      <c r="C71" s="30" t="s">
        <v>491</v>
      </c>
      <c r="D71" s="20" t="s">
        <v>586</v>
      </c>
      <c r="E71" s="20">
        <v>0</v>
      </c>
      <c r="F71" s="20">
        <f>'Z 2'!M147</f>
        <v>850</v>
      </c>
      <c r="G71" s="21">
        <v>0</v>
      </c>
    </row>
    <row r="72" spans="1:7" ht="15.75" customHeight="1">
      <c r="A72" s="17"/>
      <c r="B72" s="17"/>
      <c r="C72" s="30" t="s">
        <v>493</v>
      </c>
      <c r="D72" s="20" t="s">
        <v>494</v>
      </c>
      <c r="E72" s="20">
        <v>0</v>
      </c>
      <c r="F72" s="20">
        <f>'Z 2'!M148</f>
        <v>250</v>
      </c>
      <c r="G72" s="21">
        <v>0</v>
      </c>
    </row>
    <row r="73" spans="1:7" ht="12.75" hidden="1">
      <c r="A73" s="17" t="s">
        <v>557</v>
      </c>
      <c r="B73" s="17" t="s">
        <v>559</v>
      </c>
      <c r="C73" s="17" t="s">
        <v>817</v>
      </c>
      <c r="D73" s="7" t="s">
        <v>570</v>
      </c>
      <c r="E73" s="7">
        <v>0</v>
      </c>
      <c r="F73" s="7">
        <f>F76+F78+F79+F80+F81+F83+F84+F85+F77+F86+F87+F88+F89+F90+F91+F92+F93+F74+F75+F82</f>
        <v>0</v>
      </c>
      <c r="G73" s="19">
        <v>0</v>
      </c>
    </row>
    <row r="74" spans="1:7" ht="12.75" hidden="1">
      <c r="A74" s="17"/>
      <c r="B74" s="17"/>
      <c r="C74" s="30" t="s">
        <v>461</v>
      </c>
      <c r="D74" s="20" t="s">
        <v>864</v>
      </c>
      <c r="E74" s="20">
        <v>0</v>
      </c>
      <c r="F74" s="20">
        <v>0</v>
      </c>
      <c r="G74" s="21">
        <v>0</v>
      </c>
    </row>
    <row r="75" spans="1:7" ht="12.75" hidden="1">
      <c r="A75" s="17"/>
      <c r="B75" s="17"/>
      <c r="C75" s="30" t="s">
        <v>473</v>
      </c>
      <c r="D75" s="20" t="s">
        <v>863</v>
      </c>
      <c r="E75" s="20">
        <v>0</v>
      </c>
      <c r="F75" s="20">
        <v>0</v>
      </c>
      <c r="G75" s="21">
        <v>0</v>
      </c>
    </row>
    <row r="76" spans="1:7" ht="25.5" hidden="1">
      <c r="A76" s="28"/>
      <c r="B76" s="28"/>
      <c r="C76" s="28" t="s">
        <v>475</v>
      </c>
      <c r="D76" s="11" t="s">
        <v>476</v>
      </c>
      <c r="E76" s="8">
        <v>0</v>
      </c>
      <c r="F76" s="8">
        <v>0</v>
      </c>
      <c r="G76" s="24">
        <v>0</v>
      </c>
    </row>
    <row r="77" spans="1:7" ht="25.5" hidden="1">
      <c r="A77" s="28"/>
      <c r="B77" s="28"/>
      <c r="C77" s="28" t="s">
        <v>477</v>
      </c>
      <c r="D77" s="11" t="s">
        <v>571</v>
      </c>
      <c r="E77" s="8">
        <v>0</v>
      </c>
      <c r="F77" s="8">
        <v>0</v>
      </c>
      <c r="G77" s="24">
        <v>0</v>
      </c>
    </row>
    <row r="78" spans="1:7" ht="12.75" hidden="1">
      <c r="A78" s="28"/>
      <c r="B78" s="28"/>
      <c r="C78" s="28" t="s">
        <v>479</v>
      </c>
      <c r="D78" s="11" t="s">
        <v>865</v>
      </c>
      <c r="E78" s="8">
        <v>0</v>
      </c>
      <c r="F78" s="8">
        <v>0</v>
      </c>
      <c r="G78" s="24">
        <v>0</v>
      </c>
    </row>
    <row r="79" spans="1:7" ht="25.5" hidden="1">
      <c r="A79" s="28"/>
      <c r="B79" s="28"/>
      <c r="C79" s="28" t="s">
        <v>572</v>
      </c>
      <c r="D79" s="11" t="s">
        <v>866</v>
      </c>
      <c r="E79" s="8">
        <v>0</v>
      </c>
      <c r="F79" s="8">
        <v>0</v>
      </c>
      <c r="G79" s="24">
        <v>0</v>
      </c>
    </row>
    <row r="80" spans="1:7" ht="12.75" hidden="1">
      <c r="A80" s="28"/>
      <c r="B80" s="28"/>
      <c r="C80" s="28" t="s">
        <v>574</v>
      </c>
      <c r="D80" s="8" t="s">
        <v>867</v>
      </c>
      <c r="E80" s="8">
        <v>0</v>
      </c>
      <c r="F80" s="8">
        <v>0</v>
      </c>
      <c r="G80" s="24">
        <v>0</v>
      </c>
    </row>
    <row r="81" spans="1:7" ht="12.75" hidden="1">
      <c r="A81" s="28"/>
      <c r="B81" s="28"/>
      <c r="C81" s="28" t="s">
        <v>576</v>
      </c>
      <c r="D81" s="8" t="s">
        <v>577</v>
      </c>
      <c r="E81" s="8">
        <v>0</v>
      </c>
      <c r="F81" s="8">
        <v>0</v>
      </c>
      <c r="G81" s="24">
        <v>0</v>
      </c>
    </row>
    <row r="82" spans="1:7" ht="38.25" hidden="1">
      <c r="A82" s="28"/>
      <c r="B82" s="28"/>
      <c r="C82" s="28" t="s">
        <v>578</v>
      </c>
      <c r="D82" s="11" t="s">
        <v>873</v>
      </c>
      <c r="E82" s="8">
        <v>0</v>
      </c>
      <c r="F82" s="8">
        <v>0</v>
      </c>
      <c r="G82" s="24"/>
    </row>
    <row r="83" spans="1:7" ht="12.75" hidden="1">
      <c r="A83" s="28"/>
      <c r="B83" s="28"/>
      <c r="C83" s="28" t="s">
        <v>508</v>
      </c>
      <c r="D83" s="11" t="s">
        <v>868</v>
      </c>
      <c r="E83" s="8">
        <v>0</v>
      </c>
      <c r="F83" s="8">
        <v>0</v>
      </c>
      <c r="G83" s="24">
        <v>0</v>
      </c>
    </row>
    <row r="84" spans="1:7" ht="18" customHeight="1" hidden="1">
      <c r="A84" s="28"/>
      <c r="B84" s="28"/>
      <c r="C84" s="64" t="s">
        <v>483</v>
      </c>
      <c r="D84" s="11" t="s">
        <v>484</v>
      </c>
      <c r="E84" s="8">
        <v>0</v>
      </c>
      <c r="F84" s="8">
        <v>0</v>
      </c>
      <c r="G84" s="24">
        <v>0</v>
      </c>
    </row>
    <row r="85" spans="1:7" ht="12.75" hidden="1">
      <c r="A85" s="28"/>
      <c r="B85" s="28"/>
      <c r="C85" s="28" t="s">
        <v>485</v>
      </c>
      <c r="D85" s="8" t="s">
        <v>486</v>
      </c>
      <c r="E85" s="8">
        <v>0</v>
      </c>
      <c r="F85" s="8">
        <v>0</v>
      </c>
      <c r="G85" s="24">
        <v>0</v>
      </c>
    </row>
    <row r="86" spans="1:7" ht="12.75" hidden="1">
      <c r="A86" s="28"/>
      <c r="B86" s="28"/>
      <c r="C86" s="28" t="s">
        <v>580</v>
      </c>
      <c r="D86" s="8" t="s">
        <v>869</v>
      </c>
      <c r="E86" s="8">
        <v>0</v>
      </c>
      <c r="F86" s="8">
        <v>0</v>
      </c>
      <c r="G86" s="24">
        <v>0</v>
      </c>
    </row>
    <row r="87" spans="1:7" ht="12.75" hidden="1">
      <c r="A87" s="28"/>
      <c r="B87" s="28"/>
      <c r="C87" s="28" t="s">
        <v>582</v>
      </c>
      <c r="D87" s="8" t="s">
        <v>583</v>
      </c>
      <c r="E87" s="8">
        <v>0</v>
      </c>
      <c r="F87" s="8">
        <v>0</v>
      </c>
      <c r="G87" s="24">
        <v>0</v>
      </c>
    </row>
    <row r="88" spans="1:7" ht="12.75" hidden="1">
      <c r="A88" s="28"/>
      <c r="B88" s="28"/>
      <c r="C88" s="28" t="s">
        <v>487</v>
      </c>
      <c r="D88" s="8" t="s">
        <v>584</v>
      </c>
      <c r="E88" s="8">
        <v>0</v>
      </c>
      <c r="F88" s="8">
        <v>0</v>
      </c>
      <c r="G88" s="24">
        <v>0</v>
      </c>
    </row>
    <row r="89" spans="1:7" ht="12.75" hidden="1">
      <c r="A89" s="28"/>
      <c r="B89" s="28"/>
      <c r="C89" s="28" t="s">
        <v>489</v>
      </c>
      <c r="D89" s="8" t="s">
        <v>585</v>
      </c>
      <c r="E89" s="8">
        <v>0</v>
      </c>
      <c r="F89" s="8">
        <v>0</v>
      </c>
      <c r="G89" s="24">
        <v>0</v>
      </c>
    </row>
    <row r="90" spans="1:7" ht="12.75" hidden="1">
      <c r="A90" s="28"/>
      <c r="B90" s="28"/>
      <c r="C90" s="28" t="s">
        <v>491</v>
      </c>
      <c r="D90" s="8" t="s">
        <v>586</v>
      </c>
      <c r="E90" s="8">
        <v>0</v>
      </c>
      <c r="F90" s="8">
        <v>0</v>
      </c>
      <c r="G90" s="24">
        <v>0</v>
      </c>
    </row>
    <row r="91" spans="1:7" ht="12.75" hidden="1">
      <c r="A91" s="28"/>
      <c r="B91" s="28"/>
      <c r="C91" s="28" t="s">
        <v>493</v>
      </c>
      <c r="D91" s="8" t="s">
        <v>494</v>
      </c>
      <c r="E91" s="8">
        <v>0</v>
      </c>
      <c r="F91" s="8">
        <v>0</v>
      </c>
      <c r="G91" s="24">
        <v>0</v>
      </c>
    </row>
    <row r="92" spans="1:7" ht="12.75" hidden="1">
      <c r="A92" s="28"/>
      <c r="B92" s="28"/>
      <c r="C92" s="28" t="s">
        <v>497</v>
      </c>
      <c r="D92" s="8" t="s">
        <v>498</v>
      </c>
      <c r="E92" s="8">
        <v>0</v>
      </c>
      <c r="F92" s="8">
        <v>0</v>
      </c>
      <c r="G92" s="24">
        <v>0</v>
      </c>
    </row>
    <row r="93" spans="1:7" ht="12.75" hidden="1">
      <c r="A93" s="28"/>
      <c r="B93" s="28"/>
      <c r="C93" s="28" t="s">
        <v>513</v>
      </c>
      <c r="D93" s="8" t="s">
        <v>514</v>
      </c>
      <c r="E93" s="8">
        <v>0</v>
      </c>
      <c r="F93" s="8">
        <v>0</v>
      </c>
      <c r="G93" s="24">
        <v>0</v>
      </c>
    </row>
    <row r="94" spans="1:7" ht="24.75" customHeight="1">
      <c r="A94" s="517" t="s">
        <v>557</v>
      </c>
      <c r="B94" s="517" t="s">
        <v>587</v>
      </c>
      <c r="C94" s="517" t="s">
        <v>651</v>
      </c>
      <c r="D94" s="518" t="s">
        <v>871</v>
      </c>
      <c r="E94" s="430">
        <f>'Z 1'!T226</f>
        <v>2306000</v>
      </c>
      <c r="F94" s="430">
        <f>F95+F96+F97+F98+F99+F100+F101+F103+F102+F110+F112+F113+F114+F116+F117+F118+F119+F120+F121+F122+F111+F115</f>
        <v>2306000</v>
      </c>
      <c r="G94" s="423">
        <v>0</v>
      </c>
    </row>
    <row r="95" spans="1:7" ht="24.75" customHeight="1">
      <c r="A95" s="17"/>
      <c r="B95" s="30"/>
      <c r="C95" s="30" t="s">
        <v>477</v>
      </c>
      <c r="D95" s="29" t="s">
        <v>872</v>
      </c>
      <c r="E95" s="20">
        <v>0</v>
      </c>
      <c r="F95" s="20">
        <f>'Z 2'!M193</f>
        <v>19000</v>
      </c>
      <c r="G95" s="21">
        <v>0</v>
      </c>
    </row>
    <row r="96" spans="1:7" ht="24.75" customHeight="1">
      <c r="A96" s="17"/>
      <c r="B96" s="30"/>
      <c r="C96" s="30" t="s">
        <v>479</v>
      </c>
      <c r="D96" s="29" t="s">
        <v>865</v>
      </c>
      <c r="E96" s="20">
        <v>0</v>
      </c>
      <c r="F96" s="20">
        <f>'Z 2'!M194</f>
        <v>2000</v>
      </c>
      <c r="G96" s="21">
        <v>0</v>
      </c>
    </row>
    <row r="97" spans="1:7" ht="24.75" customHeight="1">
      <c r="A97" s="17"/>
      <c r="B97" s="30"/>
      <c r="C97" s="30" t="s">
        <v>572</v>
      </c>
      <c r="D97" s="11" t="s">
        <v>866</v>
      </c>
      <c r="E97" s="20">
        <v>0</v>
      </c>
      <c r="F97" s="20">
        <f>'Z 2'!M195</f>
        <v>1438000</v>
      </c>
      <c r="G97" s="21">
        <v>0</v>
      </c>
    </row>
    <row r="98" spans="1:7" ht="17.25" customHeight="1">
      <c r="A98" s="17"/>
      <c r="B98" s="30"/>
      <c r="C98" s="30" t="s">
        <v>574</v>
      </c>
      <c r="D98" s="8" t="s">
        <v>867</v>
      </c>
      <c r="E98" s="20">
        <v>0</v>
      </c>
      <c r="F98" s="20">
        <f>'Z 2'!M196</f>
        <v>148000</v>
      </c>
      <c r="G98" s="21">
        <v>0</v>
      </c>
    </row>
    <row r="99" spans="1:7" ht="14.25" customHeight="1">
      <c r="A99" s="17"/>
      <c r="B99" s="30"/>
      <c r="C99" s="28" t="s">
        <v>576</v>
      </c>
      <c r="D99" s="8" t="s">
        <v>577</v>
      </c>
      <c r="E99" s="20">
        <v>0</v>
      </c>
      <c r="F99" s="20">
        <f>'Z 2'!M197</f>
        <v>121000</v>
      </c>
      <c r="G99" s="21">
        <v>0</v>
      </c>
    </row>
    <row r="100" spans="1:7" ht="24" customHeight="1">
      <c r="A100" s="17"/>
      <c r="B100" s="30"/>
      <c r="C100" s="28" t="s">
        <v>977</v>
      </c>
      <c r="D100" s="11" t="s">
        <v>341</v>
      </c>
      <c r="E100" s="20">
        <v>0</v>
      </c>
      <c r="F100" s="20">
        <v>93000</v>
      </c>
      <c r="G100" s="21">
        <v>0</v>
      </c>
    </row>
    <row r="101" spans="1:7" ht="17.25" customHeight="1">
      <c r="A101" s="17"/>
      <c r="B101" s="30"/>
      <c r="C101" s="64" t="s">
        <v>508</v>
      </c>
      <c r="D101" s="11" t="s">
        <v>868</v>
      </c>
      <c r="E101" s="20">
        <v>0</v>
      </c>
      <c r="F101" s="20">
        <f>'Z 2'!M199</f>
        <v>3500</v>
      </c>
      <c r="G101" s="21">
        <v>0</v>
      </c>
    </row>
    <row r="102" spans="1:7" ht="16.5" customHeight="1">
      <c r="A102" s="17"/>
      <c r="B102" s="30"/>
      <c r="C102" s="64" t="s">
        <v>483</v>
      </c>
      <c r="D102" s="11" t="s">
        <v>484</v>
      </c>
      <c r="E102" s="20">
        <v>0</v>
      </c>
      <c r="F102" s="20">
        <f>'Z 2'!M200</f>
        <v>500</v>
      </c>
      <c r="G102" s="21">
        <v>0</v>
      </c>
    </row>
    <row r="103" spans="1:7" ht="24" customHeight="1">
      <c r="A103" s="17"/>
      <c r="B103" s="30"/>
      <c r="C103" s="30" t="s">
        <v>975</v>
      </c>
      <c r="D103" s="29" t="s">
        <v>340</v>
      </c>
      <c r="E103" s="20">
        <v>0</v>
      </c>
      <c r="F103" s="20">
        <v>149000</v>
      </c>
      <c r="G103" s="21">
        <v>0</v>
      </c>
    </row>
    <row r="104" spans="1:7" ht="14.25" customHeight="1" hidden="1">
      <c r="A104" s="17" t="s">
        <v>678</v>
      </c>
      <c r="B104" s="17" t="s">
        <v>688</v>
      </c>
      <c r="C104" s="65" t="s">
        <v>817</v>
      </c>
      <c r="D104" s="7" t="s">
        <v>814</v>
      </c>
      <c r="E104" s="7">
        <v>0</v>
      </c>
      <c r="F104" s="7">
        <f>F105+F106+F107+F109+F108</f>
        <v>0</v>
      </c>
      <c r="G104" s="56">
        <v>0</v>
      </c>
    </row>
    <row r="105" spans="1:7" ht="24" customHeight="1" hidden="1">
      <c r="A105" s="17"/>
      <c r="B105" s="17"/>
      <c r="C105" s="30" t="s">
        <v>475</v>
      </c>
      <c r="D105" s="29" t="s">
        <v>476</v>
      </c>
      <c r="E105" s="20">
        <v>0</v>
      </c>
      <c r="F105" s="20">
        <v>0</v>
      </c>
      <c r="G105" s="57">
        <v>0</v>
      </c>
    </row>
    <row r="106" spans="1:7" ht="21.75" customHeight="1" hidden="1">
      <c r="A106" s="17"/>
      <c r="B106" s="17"/>
      <c r="C106" s="30" t="s">
        <v>479</v>
      </c>
      <c r="D106" s="20" t="s">
        <v>843</v>
      </c>
      <c r="E106" s="20">
        <v>0</v>
      </c>
      <c r="F106" s="20">
        <v>0</v>
      </c>
      <c r="G106" s="57">
        <v>0</v>
      </c>
    </row>
    <row r="107" spans="1:7" ht="24.75" customHeight="1" hidden="1">
      <c r="A107" s="17"/>
      <c r="B107" s="17"/>
      <c r="C107" s="232" t="s">
        <v>508</v>
      </c>
      <c r="D107" s="29" t="s">
        <v>554</v>
      </c>
      <c r="E107" s="20">
        <v>0</v>
      </c>
      <c r="F107" s="20">
        <v>0</v>
      </c>
      <c r="G107" s="57">
        <v>0</v>
      </c>
    </row>
    <row r="108" spans="1:7" ht="24.75" customHeight="1" hidden="1">
      <c r="A108" s="17"/>
      <c r="B108" s="17"/>
      <c r="C108" s="232" t="s">
        <v>483</v>
      </c>
      <c r="D108" s="29" t="s">
        <v>484</v>
      </c>
      <c r="E108" s="20">
        <v>0</v>
      </c>
      <c r="F108" s="20">
        <v>0</v>
      </c>
      <c r="G108" s="57">
        <v>0</v>
      </c>
    </row>
    <row r="109" spans="1:7" ht="21.75" customHeight="1" hidden="1">
      <c r="A109" s="17"/>
      <c r="B109" s="17"/>
      <c r="C109" s="30"/>
      <c r="D109" s="20" t="s">
        <v>626</v>
      </c>
      <c r="E109" s="20">
        <v>0</v>
      </c>
      <c r="F109" s="20">
        <v>0</v>
      </c>
      <c r="G109" s="57">
        <v>0</v>
      </c>
    </row>
    <row r="110" spans="1:7" ht="18.75" customHeight="1">
      <c r="A110" s="17"/>
      <c r="B110" s="17"/>
      <c r="C110" s="30" t="s">
        <v>485</v>
      </c>
      <c r="D110" s="20" t="s">
        <v>486</v>
      </c>
      <c r="E110" s="20">
        <v>0</v>
      </c>
      <c r="F110" s="20">
        <v>195820</v>
      </c>
      <c r="G110" s="57">
        <v>0</v>
      </c>
    </row>
    <row r="111" spans="1:7" ht="21.75" customHeight="1">
      <c r="A111" s="17"/>
      <c r="B111" s="17"/>
      <c r="C111" s="30" t="s">
        <v>580</v>
      </c>
      <c r="D111" s="20" t="s">
        <v>869</v>
      </c>
      <c r="E111" s="20">
        <v>0</v>
      </c>
      <c r="F111" s="20">
        <f>'Z 2'!M204</f>
        <v>0</v>
      </c>
      <c r="G111" s="57">
        <v>0</v>
      </c>
    </row>
    <row r="112" spans="1:7" ht="21.75" customHeight="1">
      <c r="A112" s="17"/>
      <c r="B112" s="17"/>
      <c r="C112" s="30" t="s">
        <v>582</v>
      </c>
      <c r="D112" s="20" t="s">
        <v>583</v>
      </c>
      <c r="E112" s="20">
        <v>0</v>
      </c>
      <c r="F112" s="20">
        <f>'Z 2'!M205</f>
        <v>20000</v>
      </c>
      <c r="G112" s="57">
        <v>0</v>
      </c>
    </row>
    <row r="113" spans="1:7" ht="21.75" customHeight="1">
      <c r="A113" s="17"/>
      <c r="B113" s="17"/>
      <c r="C113" s="30" t="s">
        <v>487</v>
      </c>
      <c r="D113" s="20" t="s">
        <v>584</v>
      </c>
      <c r="E113" s="20">
        <v>0</v>
      </c>
      <c r="F113" s="20">
        <f>'Z 2'!M206</f>
        <v>18000</v>
      </c>
      <c r="G113" s="57">
        <v>0</v>
      </c>
    </row>
    <row r="114" spans="1:7" ht="21.75" customHeight="1">
      <c r="A114" s="17"/>
      <c r="B114" s="17"/>
      <c r="C114" s="30" t="s">
        <v>489</v>
      </c>
      <c r="D114" s="20" t="s">
        <v>585</v>
      </c>
      <c r="E114" s="20">
        <v>0</v>
      </c>
      <c r="F114" s="20">
        <f>'Z 2'!M207</f>
        <v>12000</v>
      </c>
      <c r="G114" s="57">
        <v>0</v>
      </c>
    </row>
    <row r="115" spans="1:7" ht="21.75" customHeight="1">
      <c r="A115" s="17"/>
      <c r="B115" s="17"/>
      <c r="C115" s="30" t="s">
        <v>561</v>
      </c>
      <c r="D115" s="20" t="s">
        <v>562</v>
      </c>
      <c r="E115" s="20">
        <v>0</v>
      </c>
      <c r="F115" s="20">
        <f>'Z 2'!M208</f>
        <v>14520</v>
      </c>
      <c r="G115" s="57"/>
    </row>
    <row r="116" spans="1:7" ht="21.75" customHeight="1">
      <c r="A116" s="17"/>
      <c r="B116" s="17"/>
      <c r="C116" s="30" t="s">
        <v>491</v>
      </c>
      <c r="D116" s="20" t="s">
        <v>586</v>
      </c>
      <c r="E116" s="20">
        <v>0</v>
      </c>
      <c r="F116" s="20">
        <f>'Z 2'!M209</f>
        <v>45000</v>
      </c>
      <c r="G116" s="57">
        <v>0</v>
      </c>
    </row>
    <row r="117" spans="1:7" ht="21.75" customHeight="1">
      <c r="A117" s="17"/>
      <c r="B117" s="17"/>
      <c r="C117" s="30" t="s">
        <v>493</v>
      </c>
      <c r="D117" s="20" t="s">
        <v>494</v>
      </c>
      <c r="E117" s="20">
        <v>0</v>
      </c>
      <c r="F117" s="20">
        <f>'Z 2'!M210</f>
        <v>7000</v>
      </c>
      <c r="G117" s="57">
        <v>0</v>
      </c>
    </row>
    <row r="118" spans="1:7" ht="17.25" customHeight="1">
      <c r="A118" s="17"/>
      <c r="B118" s="17"/>
      <c r="C118" s="30" t="s">
        <v>495</v>
      </c>
      <c r="D118" s="20" t="s">
        <v>496</v>
      </c>
      <c r="E118" s="20">
        <v>0</v>
      </c>
      <c r="F118" s="20">
        <f>'Z 2'!M211</f>
        <v>8000</v>
      </c>
      <c r="G118" s="57">
        <v>0</v>
      </c>
    </row>
    <row r="119" spans="1:7" ht="18" customHeight="1">
      <c r="A119" s="17"/>
      <c r="B119" s="17"/>
      <c r="C119" s="30" t="s">
        <v>497</v>
      </c>
      <c r="D119" s="20" t="s">
        <v>498</v>
      </c>
      <c r="E119" s="20">
        <v>0</v>
      </c>
      <c r="F119" s="20">
        <f>'Z 2'!M213</f>
        <v>1000</v>
      </c>
      <c r="G119" s="57">
        <v>0</v>
      </c>
    </row>
    <row r="120" spans="1:7" ht="18.75" customHeight="1">
      <c r="A120" s="17"/>
      <c r="B120" s="17"/>
      <c r="C120" s="30" t="s">
        <v>560</v>
      </c>
      <c r="D120" s="20" t="s">
        <v>569</v>
      </c>
      <c r="E120" s="20">
        <v>0</v>
      </c>
      <c r="F120" s="20">
        <v>10500</v>
      </c>
      <c r="G120" s="57">
        <v>0</v>
      </c>
    </row>
    <row r="121" spans="1:7" ht="15.75" customHeight="1">
      <c r="A121" s="17"/>
      <c r="B121" s="17"/>
      <c r="C121" s="30" t="s">
        <v>590</v>
      </c>
      <c r="D121" s="20" t="s">
        <v>874</v>
      </c>
      <c r="E121" s="20">
        <v>0</v>
      </c>
      <c r="F121" s="20">
        <f>'Z 2'!M215</f>
        <v>160</v>
      </c>
      <c r="G121" s="57">
        <v>0</v>
      </c>
    </row>
    <row r="122" spans="1:7" ht="21.75" customHeight="1" hidden="1">
      <c r="A122" s="17"/>
      <c r="B122" s="17"/>
      <c r="C122" s="30" t="s">
        <v>515</v>
      </c>
      <c r="D122" s="20" t="s">
        <v>875</v>
      </c>
      <c r="E122" s="20">
        <v>0</v>
      </c>
      <c r="F122" s="20">
        <v>0</v>
      </c>
      <c r="G122" s="57">
        <v>0</v>
      </c>
    </row>
    <row r="123" spans="1:7" ht="21.75" customHeight="1">
      <c r="A123" s="517" t="s">
        <v>557</v>
      </c>
      <c r="B123" s="517" t="s">
        <v>979</v>
      </c>
      <c r="C123" s="517" t="s">
        <v>651</v>
      </c>
      <c r="D123" s="430" t="s">
        <v>668</v>
      </c>
      <c r="E123" s="430">
        <v>3000</v>
      </c>
      <c r="F123" s="430">
        <f>F124+F125</f>
        <v>3000</v>
      </c>
      <c r="G123" s="522">
        <v>0</v>
      </c>
    </row>
    <row r="124" spans="1:7" ht="21.75" customHeight="1">
      <c r="A124" s="17"/>
      <c r="B124" s="17"/>
      <c r="C124" s="30" t="s">
        <v>485</v>
      </c>
      <c r="D124" s="20" t="s">
        <v>486</v>
      </c>
      <c r="E124" s="7">
        <v>0</v>
      </c>
      <c r="F124" s="20">
        <v>1400</v>
      </c>
      <c r="G124" s="56">
        <v>0</v>
      </c>
    </row>
    <row r="125" spans="1:7" ht="21.75" customHeight="1">
      <c r="A125" s="17"/>
      <c r="B125" s="17"/>
      <c r="C125" s="30" t="s">
        <v>491</v>
      </c>
      <c r="D125" s="20" t="s">
        <v>586</v>
      </c>
      <c r="E125" s="20">
        <v>0</v>
      </c>
      <c r="F125" s="20">
        <v>1600</v>
      </c>
      <c r="G125" s="57">
        <v>0</v>
      </c>
    </row>
    <row r="126" spans="1:7" ht="28.5" customHeight="1">
      <c r="A126" s="517" t="s">
        <v>678</v>
      </c>
      <c r="B126" s="517" t="s">
        <v>694</v>
      </c>
      <c r="C126" s="517" t="s">
        <v>651</v>
      </c>
      <c r="D126" s="518" t="s">
        <v>876</v>
      </c>
      <c r="E126" s="430">
        <f>'Z 1'!T229</f>
        <v>545000</v>
      </c>
      <c r="F126" s="430">
        <f>F127</f>
        <v>545000</v>
      </c>
      <c r="G126" s="522">
        <v>0</v>
      </c>
    </row>
    <row r="127" spans="1:7" ht="20.25" customHeight="1">
      <c r="A127" s="17"/>
      <c r="B127" s="17"/>
      <c r="C127" s="30" t="s">
        <v>696</v>
      </c>
      <c r="D127" s="29" t="s">
        <v>877</v>
      </c>
      <c r="E127" s="20">
        <v>0</v>
      </c>
      <c r="F127" s="20">
        <f>'Z 2'!M445</f>
        <v>545000</v>
      </c>
      <c r="G127" s="57">
        <v>0</v>
      </c>
    </row>
    <row r="128" spans="1:7" ht="25.5" hidden="1">
      <c r="A128" s="17" t="s">
        <v>700</v>
      </c>
      <c r="B128" s="17" t="s">
        <v>713</v>
      </c>
      <c r="C128" s="17" t="s">
        <v>817</v>
      </c>
      <c r="D128" s="4" t="s">
        <v>714</v>
      </c>
      <c r="E128" s="7" t="e">
        <f>'Z 1'!#REF!</f>
        <v>#REF!</v>
      </c>
      <c r="F128" s="7">
        <f>F129+F131+F130+F132+F133+F134+F135+F136+F137</f>
        <v>0</v>
      </c>
      <c r="G128" s="19">
        <v>0</v>
      </c>
    </row>
    <row r="129" spans="1:7" ht="25.5" hidden="1">
      <c r="A129" s="28"/>
      <c r="B129" s="17"/>
      <c r="C129" s="30" t="s">
        <v>475</v>
      </c>
      <c r="D129" s="29" t="s">
        <v>476</v>
      </c>
      <c r="E129" s="20">
        <v>0</v>
      </c>
      <c r="F129" s="20">
        <v>0</v>
      </c>
      <c r="G129" s="21">
        <v>0</v>
      </c>
    </row>
    <row r="130" spans="1:7" ht="12.75" hidden="1">
      <c r="A130" s="28"/>
      <c r="B130" s="17"/>
      <c r="C130" s="30" t="s">
        <v>479</v>
      </c>
      <c r="D130" s="29" t="s">
        <v>843</v>
      </c>
      <c r="E130" s="20">
        <v>0</v>
      </c>
      <c r="F130" s="20">
        <v>0</v>
      </c>
      <c r="G130" s="21">
        <v>0</v>
      </c>
    </row>
    <row r="131" spans="1:7" ht="12.75" hidden="1">
      <c r="A131" s="28"/>
      <c r="B131" s="17"/>
      <c r="C131" s="232" t="s">
        <v>508</v>
      </c>
      <c r="D131" s="29" t="s">
        <v>554</v>
      </c>
      <c r="E131" s="20">
        <v>0</v>
      </c>
      <c r="F131" s="20">
        <v>0</v>
      </c>
      <c r="G131" s="21">
        <v>0</v>
      </c>
    </row>
    <row r="132" spans="1:7" ht="12.75" hidden="1">
      <c r="A132" s="28"/>
      <c r="B132" s="17"/>
      <c r="C132" s="232" t="s">
        <v>483</v>
      </c>
      <c r="D132" s="29" t="s">
        <v>484</v>
      </c>
      <c r="E132" s="20">
        <v>0</v>
      </c>
      <c r="F132" s="20">
        <v>0</v>
      </c>
      <c r="G132" s="21">
        <v>0</v>
      </c>
    </row>
    <row r="133" spans="1:7" ht="13.5" customHeight="1" hidden="1">
      <c r="A133" s="28"/>
      <c r="B133" s="17"/>
      <c r="C133" s="232" t="s">
        <v>485</v>
      </c>
      <c r="D133" s="29" t="s">
        <v>486</v>
      </c>
      <c r="E133" s="20">
        <v>0</v>
      </c>
      <c r="F133" s="20">
        <v>0</v>
      </c>
      <c r="G133" s="21">
        <v>0</v>
      </c>
    </row>
    <row r="134" spans="1:7" ht="12.75" hidden="1">
      <c r="A134" s="28"/>
      <c r="B134" s="17"/>
      <c r="C134" s="232" t="s">
        <v>487</v>
      </c>
      <c r="D134" s="29" t="s">
        <v>584</v>
      </c>
      <c r="E134" s="20">
        <v>0</v>
      </c>
      <c r="F134" s="20">
        <v>0</v>
      </c>
      <c r="G134" s="21">
        <v>0</v>
      </c>
    </row>
    <row r="135" spans="1:7" ht="12.75" hidden="1">
      <c r="A135" s="28"/>
      <c r="B135" s="17"/>
      <c r="C135" s="232" t="s">
        <v>491</v>
      </c>
      <c r="D135" s="29" t="s">
        <v>586</v>
      </c>
      <c r="E135" s="20">
        <v>0</v>
      </c>
      <c r="F135" s="20">
        <v>0</v>
      </c>
      <c r="G135" s="21">
        <v>0</v>
      </c>
    </row>
    <row r="136" spans="1:7" ht="12.75" hidden="1">
      <c r="A136" s="28"/>
      <c r="B136" s="17"/>
      <c r="C136" s="232" t="s">
        <v>493</v>
      </c>
      <c r="D136" s="29" t="s">
        <v>494</v>
      </c>
      <c r="E136" s="20">
        <v>0</v>
      </c>
      <c r="F136" s="20">
        <v>0</v>
      </c>
      <c r="G136" s="21">
        <v>0</v>
      </c>
    </row>
    <row r="137" spans="1:7" ht="12.75" hidden="1">
      <c r="A137" s="28"/>
      <c r="B137" s="17"/>
      <c r="C137" s="232" t="s">
        <v>497</v>
      </c>
      <c r="D137" s="29" t="s">
        <v>498</v>
      </c>
      <c r="E137" s="20">
        <v>0</v>
      </c>
      <c r="F137" s="20">
        <v>0</v>
      </c>
      <c r="G137" s="21">
        <v>0</v>
      </c>
    </row>
    <row r="138" spans="1:7" ht="12.75" hidden="1">
      <c r="A138" s="17" t="s">
        <v>700</v>
      </c>
      <c r="B138" s="17" t="s">
        <v>719</v>
      </c>
      <c r="C138" s="17" t="s">
        <v>817</v>
      </c>
      <c r="D138" s="7" t="s">
        <v>720</v>
      </c>
      <c r="E138" s="7" t="e">
        <f>'Z 1'!#REF!</f>
        <v>#REF!</v>
      </c>
      <c r="F138" s="7">
        <f>F139+F140+F141+F142+F143+F144+F146+F147+F148+F149+F150</f>
        <v>0</v>
      </c>
      <c r="G138" s="19">
        <v>0</v>
      </c>
    </row>
    <row r="139" spans="1:7" ht="25.5" hidden="1">
      <c r="A139" s="28"/>
      <c r="B139" s="17"/>
      <c r="C139" s="30" t="s">
        <v>475</v>
      </c>
      <c r="D139" s="29" t="s">
        <v>476</v>
      </c>
      <c r="E139" s="20">
        <v>0</v>
      </c>
      <c r="F139" s="20">
        <v>0</v>
      </c>
      <c r="G139" s="21">
        <v>0</v>
      </c>
    </row>
    <row r="140" spans="1:7" ht="12.75" hidden="1">
      <c r="A140" s="28"/>
      <c r="B140" s="17"/>
      <c r="C140" s="30" t="s">
        <v>479</v>
      </c>
      <c r="D140" s="20" t="s">
        <v>843</v>
      </c>
      <c r="E140" s="20">
        <v>0</v>
      </c>
      <c r="F140" s="20">
        <v>0</v>
      </c>
      <c r="G140" s="21">
        <v>0</v>
      </c>
    </row>
    <row r="141" spans="1:7" ht="12.75" hidden="1">
      <c r="A141" s="28"/>
      <c r="B141" s="17"/>
      <c r="C141" s="232" t="s">
        <v>508</v>
      </c>
      <c r="D141" s="29" t="s">
        <v>554</v>
      </c>
      <c r="E141" s="20">
        <v>0</v>
      </c>
      <c r="F141" s="20">
        <v>0</v>
      </c>
      <c r="G141" s="21">
        <v>0</v>
      </c>
    </row>
    <row r="142" spans="1:7" ht="12.75" hidden="1">
      <c r="A142" s="28"/>
      <c r="B142" s="17"/>
      <c r="C142" s="232" t="s">
        <v>483</v>
      </c>
      <c r="D142" s="29" t="s">
        <v>484</v>
      </c>
      <c r="E142" s="20">
        <v>0</v>
      </c>
      <c r="F142" s="20">
        <v>0</v>
      </c>
      <c r="G142" s="21">
        <v>0</v>
      </c>
    </row>
    <row r="143" spans="1:7" ht="12.75" hidden="1">
      <c r="A143" s="28"/>
      <c r="B143" s="28"/>
      <c r="C143" s="30" t="s">
        <v>485</v>
      </c>
      <c r="D143" s="20" t="s">
        <v>486</v>
      </c>
      <c r="E143" s="20">
        <v>0</v>
      </c>
      <c r="F143" s="20">
        <v>0</v>
      </c>
      <c r="G143" s="21">
        <v>0</v>
      </c>
    </row>
    <row r="144" spans="1:7" ht="12.75" hidden="1">
      <c r="A144" s="28"/>
      <c r="B144" s="28"/>
      <c r="C144" s="30" t="s">
        <v>487</v>
      </c>
      <c r="D144" s="20" t="s">
        <v>584</v>
      </c>
      <c r="E144" s="20">
        <v>0</v>
      </c>
      <c r="F144" s="20">
        <v>0</v>
      </c>
      <c r="G144" s="21">
        <v>0</v>
      </c>
    </row>
    <row r="145" spans="1:7" ht="12.75" hidden="1">
      <c r="A145" s="28"/>
      <c r="B145" s="28"/>
      <c r="C145" s="30" t="s">
        <v>489</v>
      </c>
      <c r="D145" s="20" t="s">
        <v>585</v>
      </c>
      <c r="E145" s="20">
        <v>0</v>
      </c>
      <c r="F145" s="20">
        <v>15074</v>
      </c>
      <c r="G145" s="21">
        <v>0</v>
      </c>
    </row>
    <row r="146" spans="1:7" ht="12.75" hidden="1">
      <c r="A146" s="28"/>
      <c r="B146" s="28"/>
      <c r="C146" s="30" t="s">
        <v>491</v>
      </c>
      <c r="D146" s="20" t="s">
        <v>586</v>
      </c>
      <c r="E146" s="20">
        <v>0</v>
      </c>
      <c r="F146" s="20">
        <v>0</v>
      </c>
      <c r="G146" s="21">
        <v>0</v>
      </c>
    </row>
    <row r="147" spans="1:7" ht="12.75" hidden="1">
      <c r="A147" s="28"/>
      <c r="B147" s="28"/>
      <c r="C147" s="30" t="s">
        <v>493</v>
      </c>
      <c r="D147" s="20" t="s">
        <v>494</v>
      </c>
      <c r="E147" s="20">
        <v>0</v>
      </c>
      <c r="F147" s="20">
        <v>0</v>
      </c>
      <c r="G147" s="21">
        <v>0</v>
      </c>
    </row>
    <row r="148" spans="1:7" ht="12.75" hidden="1">
      <c r="A148" s="28"/>
      <c r="B148" s="28"/>
      <c r="C148" s="30" t="s">
        <v>495</v>
      </c>
      <c r="D148" s="20" t="s">
        <v>496</v>
      </c>
      <c r="E148" s="20">
        <v>0</v>
      </c>
      <c r="F148" s="20">
        <v>0</v>
      </c>
      <c r="G148" s="21">
        <v>0</v>
      </c>
    </row>
    <row r="149" spans="1:7" ht="12.75" hidden="1">
      <c r="A149" s="28"/>
      <c r="B149" s="28"/>
      <c r="C149" s="30" t="s">
        <v>497</v>
      </c>
      <c r="D149" s="20" t="s">
        <v>498</v>
      </c>
      <c r="E149" s="20">
        <v>0</v>
      </c>
      <c r="F149" s="20">
        <v>0</v>
      </c>
      <c r="G149" s="21">
        <v>0</v>
      </c>
    </row>
    <row r="150" spans="1:7" ht="12.75" hidden="1">
      <c r="A150" s="28"/>
      <c r="B150" s="28"/>
      <c r="C150" s="30" t="s">
        <v>513</v>
      </c>
      <c r="D150" s="20" t="s">
        <v>514</v>
      </c>
      <c r="E150" s="20">
        <v>0</v>
      </c>
      <c r="F150" s="20">
        <v>0</v>
      </c>
      <c r="G150" s="21">
        <v>0</v>
      </c>
    </row>
    <row r="151" spans="1:7" ht="21" customHeight="1">
      <c r="A151" s="677" t="s">
        <v>878</v>
      </c>
      <c r="B151" s="677"/>
      <c r="C151" s="677"/>
      <c r="D151" s="677"/>
      <c r="E151" s="465">
        <f>E14+E31+E39+E41+E43+E55+E65+E94+E123+E126</f>
        <v>3305295</v>
      </c>
      <c r="F151" s="465">
        <f>F14+F31+F39+F41+F43+F55+F65+F94+F123+F126</f>
        <v>3305295</v>
      </c>
      <c r="G151" s="465">
        <f>G10</f>
        <v>138608</v>
      </c>
    </row>
    <row r="152" ht="12.75">
      <c r="E152" t="s">
        <v>438</v>
      </c>
    </row>
  </sheetData>
  <mergeCells count="9">
    <mergeCell ref="B13:F13"/>
    <mergeCell ref="E1:G1"/>
    <mergeCell ref="A151:D151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16" sqref="D16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6.25390625" style="0" customWidth="1"/>
    <col min="4" max="4" width="31.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1"/>
      <c r="E1" s="571" t="s">
        <v>547</v>
      </c>
      <c r="F1" s="571"/>
    </row>
    <row r="2" spans="5:6" ht="12.75">
      <c r="E2" s="1"/>
      <c r="F2" s="1"/>
    </row>
    <row r="3" spans="1:6" ht="13.5" thickBot="1">
      <c r="A3" s="694" t="s">
        <v>252</v>
      </c>
      <c r="B3" s="694"/>
      <c r="C3" s="694"/>
      <c r="D3" s="694"/>
      <c r="E3" s="694"/>
      <c r="F3" s="694"/>
    </row>
    <row r="4" spans="1:6" ht="13.5" thickBot="1">
      <c r="A4" s="695" t="s">
        <v>805</v>
      </c>
      <c r="B4" s="696"/>
      <c r="C4" s="697"/>
      <c r="D4" s="698" t="s">
        <v>806</v>
      </c>
      <c r="E4" s="700" t="s">
        <v>879</v>
      </c>
      <c r="F4" s="702" t="s">
        <v>808</v>
      </c>
    </row>
    <row r="5" spans="1:6" ht="13.5" thickBot="1">
      <c r="A5" s="158" t="s">
        <v>810</v>
      </c>
      <c r="B5" s="159" t="s">
        <v>811</v>
      </c>
      <c r="C5" s="158" t="s">
        <v>446</v>
      </c>
      <c r="D5" s="699"/>
      <c r="E5" s="701"/>
      <c r="F5" s="703"/>
    </row>
    <row r="6" spans="1:6" ht="12.75">
      <c r="A6" s="269">
        <v>1</v>
      </c>
      <c r="B6" s="268">
        <v>2</v>
      </c>
      <c r="C6" s="268">
        <v>3</v>
      </c>
      <c r="D6" s="160">
        <v>4</v>
      </c>
      <c r="E6" s="268">
        <v>5</v>
      </c>
      <c r="F6" s="270">
        <v>6</v>
      </c>
    </row>
    <row r="7" spans="1:6" ht="25.5" hidden="1">
      <c r="A7" s="61"/>
      <c r="B7" s="51"/>
      <c r="C7" s="163">
        <v>2830</v>
      </c>
      <c r="D7" s="164" t="s">
        <v>254</v>
      </c>
      <c r="E7" s="161">
        <v>0</v>
      </c>
      <c r="F7" s="165">
        <v>0</v>
      </c>
    </row>
    <row r="8" spans="1:6" ht="12.75">
      <c r="A8" s="423">
        <v>852</v>
      </c>
      <c r="B8" s="423">
        <v>85202</v>
      </c>
      <c r="C8" s="423">
        <v>2310</v>
      </c>
      <c r="D8" s="525" t="s">
        <v>708</v>
      </c>
      <c r="E8" s="526">
        <v>490000</v>
      </c>
      <c r="F8" s="527">
        <f>F9+F10+F11+F13+F12+F14+F15+F16+F17+F18+F19+F20+F21+F22+F23+F24+F25</f>
        <v>490000</v>
      </c>
    </row>
    <row r="9" spans="1:6" ht="25.5">
      <c r="A9" s="162"/>
      <c r="B9" s="59"/>
      <c r="C9" s="168">
        <v>4010</v>
      </c>
      <c r="D9" s="164" t="s">
        <v>476</v>
      </c>
      <c r="E9" s="161">
        <v>0</v>
      </c>
      <c r="F9" s="165">
        <v>306229</v>
      </c>
    </row>
    <row r="10" spans="1:6" ht="12.75">
      <c r="A10" s="166"/>
      <c r="B10" s="167"/>
      <c r="C10" s="168">
        <v>4040</v>
      </c>
      <c r="D10" s="164" t="s">
        <v>865</v>
      </c>
      <c r="E10" s="161">
        <v>0</v>
      </c>
      <c r="F10" s="165">
        <v>31265</v>
      </c>
    </row>
    <row r="11" spans="1:6" ht="12.75">
      <c r="A11" s="166"/>
      <c r="B11" s="167"/>
      <c r="C11" s="326">
        <v>4110</v>
      </c>
      <c r="D11" s="164" t="s">
        <v>554</v>
      </c>
      <c r="E11" s="161">
        <v>0</v>
      </c>
      <c r="F11" s="165">
        <v>58150</v>
      </c>
    </row>
    <row r="12" spans="1:6" ht="12.75">
      <c r="A12" s="166"/>
      <c r="B12" s="167"/>
      <c r="C12" s="326">
        <v>4120</v>
      </c>
      <c r="D12" s="164" t="s">
        <v>484</v>
      </c>
      <c r="E12" s="161">
        <v>0</v>
      </c>
      <c r="F12" s="165">
        <v>8270</v>
      </c>
    </row>
    <row r="13" spans="1:6" ht="12.75" hidden="1">
      <c r="A13" s="166"/>
      <c r="B13" s="167"/>
      <c r="C13" s="168">
        <v>3020</v>
      </c>
      <c r="D13" s="164" t="s">
        <v>253</v>
      </c>
      <c r="E13" s="161">
        <v>0</v>
      </c>
      <c r="F13" s="165">
        <v>0</v>
      </c>
    </row>
    <row r="14" spans="1:6" ht="12.75" hidden="1">
      <c r="A14" s="166"/>
      <c r="B14" s="167"/>
      <c r="C14" s="168">
        <v>3030</v>
      </c>
      <c r="D14" s="164" t="s">
        <v>703</v>
      </c>
      <c r="E14" s="161">
        <v>0</v>
      </c>
      <c r="F14" s="165">
        <v>0</v>
      </c>
    </row>
    <row r="15" spans="1:6" ht="12.75">
      <c r="A15" s="61"/>
      <c r="B15" s="51"/>
      <c r="C15" s="168">
        <v>4410</v>
      </c>
      <c r="D15" s="164" t="s">
        <v>494</v>
      </c>
      <c r="E15" s="161">
        <v>0</v>
      </c>
      <c r="F15" s="165">
        <v>600</v>
      </c>
    </row>
    <row r="16" spans="1:6" ht="12.75">
      <c r="A16" s="162"/>
      <c r="B16" s="59"/>
      <c r="C16" s="168">
        <v>4210</v>
      </c>
      <c r="D16" s="164" t="s">
        <v>486</v>
      </c>
      <c r="E16" s="161">
        <v>0</v>
      </c>
      <c r="F16" s="165">
        <v>0</v>
      </c>
    </row>
    <row r="17" spans="1:6" ht="12.75">
      <c r="A17" s="166"/>
      <c r="B17" s="167"/>
      <c r="C17" s="169">
        <v>4220</v>
      </c>
      <c r="D17" s="170" t="s">
        <v>581</v>
      </c>
      <c r="E17" s="171">
        <v>0</v>
      </c>
      <c r="F17" s="172">
        <v>1000</v>
      </c>
    </row>
    <row r="18" spans="1:6" ht="12.75">
      <c r="A18" s="19"/>
      <c r="B18" s="19"/>
      <c r="C18" s="21">
        <v>4230</v>
      </c>
      <c r="D18" s="164" t="s">
        <v>255</v>
      </c>
      <c r="E18" s="161">
        <v>0</v>
      </c>
      <c r="F18" s="165">
        <v>3805</v>
      </c>
    </row>
    <row r="19" spans="1:6" ht="12.75">
      <c r="A19" s="19"/>
      <c r="B19" s="19"/>
      <c r="C19" s="21">
        <v>4260</v>
      </c>
      <c r="D19" s="164" t="s">
        <v>584</v>
      </c>
      <c r="E19" s="161">
        <v>0</v>
      </c>
      <c r="F19" s="165">
        <v>33152</v>
      </c>
    </row>
    <row r="20" spans="1:6" ht="12.75" hidden="1">
      <c r="A20" s="166"/>
      <c r="B20" s="167"/>
      <c r="C20" s="173">
        <v>4270</v>
      </c>
      <c r="D20" s="174" t="s">
        <v>585</v>
      </c>
      <c r="E20" s="175">
        <v>0</v>
      </c>
      <c r="F20" s="176">
        <v>0</v>
      </c>
    </row>
    <row r="21" spans="1:6" ht="12.75">
      <c r="A21" s="166"/>
      <c r="B21" s="167"/>
      <c r="C21" s="168">
        <v>4300</v>
      </c>
      <c r="D21" s="164" t="s">
        <v>586</v>
      </c>
      <c r="E21" s="161">
        <v>0</v>
      </c>
      <c r="F21" s="165">
        <v>31440</v>
      </c>
    </row>
    <row r="22" spans="1:6" ht="12.75">
      <c r="A22" s="166"/>
      <c r="B22" s="167"/>
      <c r="C22" s="168">
        <v>4430</v>
      </c>
      <c r="D22" s="164" t="s">
        <v>496</v>
      </c>
      <c r="E22" s="161">
        <v>0</v>
      </c>
      <c r="F22" s="165">
        <v>0</v>
      </c>
    </row>
    <row r="23" spans="1:6" ht="12.75">
      <c r="A23" s="166"/>
      <c r="B23" s="167"/>
      <c r="C23" s="168">
        <v>4440</v>
      </c>
      <c r="D23" s="164" t="s">
        <v>498</v>
      </c>
      <c r="E23" s="161">
        <v>0</v>
      </c>
      <c r="F23" s="165">
        <v>14350</v>
      </c>
    </row>
    <row r="24" spans="1:6" ht="12.75">
      <c r="A24" s="166"/>
      <c r="B24" s="167"/>
      <c r="C24" s="168">
        <v>4480</v>
      </c>
      <c r="D24" s="164" t="s">
        <v>514</v>
      </c>
      <c r="E24" s="161">
        <v>0</v>
      </c>
      <c r="F24" s="165">
        <v>1313</v>
      </c>
    </row>
    <row r="25" spans="1:6" ht="12.75">
      <c r="A25" s="61"/>
      <c r="B25" s="51"/>
      <c r="C25" s="168">
        <v>4520</v>
      </c>
      <c r="D25" s="164" t="s">
        <v>874</v>
      </c>
      <c r="E25" s="161">
        <v>0</v>
      </c>
      <c r="F25" s="165">
        <v>426</v>
      </c>
    </row>
    <row r="26" spans="1:6" ht="18.75" customHeight="1">
      <c r="A26" s="691" t="s">
        <v>260</v>
      </c>
      <c r="B26" s="692"/>
      <c r="C26" s="692"/>
      <c r="D26" s="693"/>
      <c r="E26" s="528">
        <f>E8</f>
        <v>490000</v>
      </c>
      <c r="F26" s="528">
        <f>F8</f>
        <v>490000</v>
      </c>
    </row>
    <row r="27" ht="12.75">
      <c r="C27" s="177"/>
    </row>
    <row r="28" spans="3:5" ht="12.75">
      <c r="C28" s="177"/>
      <c r="E28" s="242" t="s">
        <v>404</v>
      </c>
    </row>
    <row r="29" spans="1:6" ht="38.25" customHeight="1">
      <c r="A29" s="690"/>
      <c r="B29" s="690"/>
      <c r="C29" s="690"/>
      <c r="D29" s="690"/>
      <c r="E29" s="690"/>
      <c r="F29" s="690"/>
    </row>
    <row r="30" ht="12.75">
      <c r="C30" s="177"/>
    </row>
    <row r="31" ht="12.75">
      <c r="C31" s="177"/>
    </row>
    <row r="32" ht="12.75">
      <c r="C32" s="177"/>
    </row>
    <row r="33" ht="12.75">
      <c r="C33" s="177"/>
    </row>
  </sheetData>
  <mergeCells count="8">
    <mergeCell ref="E1:F1"/>
    <mergeCell ref="A29:F29"/>
    <mergeCell ref="A26:D26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1">
      <selection activeCell="F97" sqref="F97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15" customHeight="1">
      <c r="C1" s="704" t="s">
        <v>548</v>
      </c>
      <c r="D1" s="704"/>
      <c r="E1" s="704"/>
      <c r="F1" s="704"/>
    </row>
    <row r="2" spans="1:6" ht="22.5" customHeight="1">
      <c r="A2" s="705" t="s">
        <v>882</v>
      </c>
      <c r="B2" s="705"/>
      <c r="C2" s="705"/>
      <c r="D2" s="705"/>
      <c r="E2" s="705"/>
      <c r="F2" s="705"/>
    </row>
    <row r="3" spans="1:6" ht="12" customHeight="1">
      <c r="A3" s="573" t="s">
        <v>805</v>
      </c>
      <c r="B3" s="573"/>
      <c r="C3" s="573"/>
      <c r="D3" s="570" t="s">
        <v>806</v>
      </c>
      <c r="E3" s="570" t="s">
        <v>879</v>
      </c>
      <c r="F3" s="570" t="s">
        <v>808</v>
      </c>
    </row>
    <row r="4" spans="1:6" ht="12" customHeight="1">
      <c r="A4" s="16" t="s">
        <v>810</v>
      </c>
      <c r="B4" s="16" t="s">
        <v>811</v>
      </c>
      <c r="C4" s="16" t="s">
        <v>446</v>
      </c>
      <c r="D4" s="570"/>
      <c r="E4" s="570"/>
      <c r="F4" s="570"/>
    </row>
    <row r="5" spans="1:6" ht="11.25" customHeight="1">
      <c r="A5" s="202">
        <v>1</v>
      </c>
      <c r="B5" s="202">
        <v>2</v>
      </c>
      <c r="C5" s="202">
        <v>3</v>
      </c>
      <c r="D5" s="202">
        <v>4</v>
      </c>
      <c r="E5" s="202">
        <v>5</v>
      </c>
      <c r="F5" s="202">
        <v>6</v>
      </c>
    </row>
    <row r="6" spans="1:6" ht="17.25" customHeight="1">
      <c r="A6" s="553"/>
      <c r="B6" s="553"/>
      <c r="C6" s="553"/>
      <c r="D6" s="554" t="s">
        <v>211</v>
      </c>
      <c r="E6" s="554">
        <f>E7+E11</f>
        <v>430206</v>
      </c>
      <c r="F6" s="554">
        <f>F7+F11</f>
        <v>0</v>
      </c>
    </row>
    <row r="7" spans="1:6" ht="15" customHeight="1">
      <c r="A7" s="430">
        <v>803</v>
      </c>
      <c r="B7" s="430">
        <v>80309</v>
      </c>
      <c r="C7" s="546"/>
      <c r="D7" s="545" t="s">
        <v>929</v>
      </c>
      <c r="E7" s="520">
        <f>E9+E10</f>
        <v>72046</v>
      </c>
      <c r="F7" s="520">
        <f>F9+F10</f>
        <v>0</v>
      </c>
    </row>
    <row r="8" spans="1:6" ht="11.25" customHeight="1">
      <c r="A8" s="7"/>
      <c r="B8" s="7"/>
      <c r="C8" s="62"/>
      <c r="D8" s="232" t="s">
        <v>883</v>
      </c>
      <c r="E8" s="62"/>
      <c r="F8" s="62"/>
    </row>
    <row r="9" spans="1:6" ht="11.25" customHeight="1">
      <c r="A9" s="20"/>
      <c r="B9" s="20"/>
      <c r="C9" s="62">
        <v>2338</v>
      </c>
      <c r="D9" s="232" t="s">
        <v>231</v>
      </c>
      <c r="E9" s="62">
        <v>54034</v>
      </c>
      <c r="F9" s="62"/>
    </row>
    <row r="10" spans="1:6" ht="11.25" customHeight="1">
      <c r="A10" s="20"/>
      <c r="B10" s="20"/>
      <c r="C10" s="62">
        <v>2339</v>
      </c>
      <c r="D10" s="232" t="s">
        <v>231</v>
      </c>
      <c r="E10" s="62">
        <v>18012</v>
      </c>
      <c r="F10" s="62"/>
    </row>
    <row r="11" spans="1:6" ht="11.25" customHeight="1">
      <c r="A11" s="430">
        <v>854</v>
      </c>
      <c r="B11" s="430">
        <v>85415</v>
      </c>
      <c r="C11" s="546"/>
      <c r="D11" s="545" t="s">
        <v>145</v>
      </c>
      <c r="E11" s="520">
        <f>E13+E14</f>
        <v>358160</v>
      </c>
      <c r="F11" s="520">
        <f>F13+F14</f>
        <v>0</v>
      </c>
    </row>
    <row r="12" spans="1:6" ht="11.25" customHeight="1">
      <c r="A12" s="20"/>
      <c r="B12" s="20"/>
      <c r="C12" s="62"/>
      <c r="D12" s="232" t="s">
        <v>883</v>
      </c>
      <c r="E12" s="62"/>
      <c r="F12" s="62"/>
    </row>
    <row r="13" spans="1:6" ht="11.25" customHeight="1">
      <c r="A13" s="20"/>
      <c r="B13" s="20"/>
      <c r="C13" s="62">
        <v>2338</v>
      </c>
      <c r="D13" s="232" t="s">
        <v>231</v>
      </c>
      <c r="E13" s="62">
        <v>243549</v>
      </c>
      <c r="F13" s="62">
        <v>0</v>
      </c>
    </row>
    <row r="14" spans="1:6" ht="11.25" customHeight="1">
      <c r="A14" s="20"/>
      <c r="B14" s="20"/>
      <c r="C14" s="62">
        <v>2339</v>
      </c>
      <c r="D14" s="232" t="s">
        <v>231</v>
      </c>
      <c r="E14" s="62">
        <v>114611</v>
      </c>
      <c r="F14" s="62">
        <v>0</v>
      </c>
    </row>
    <row r="15" spans="1:6" ht="16.5" customHeight="1">
      <c r="A15" s="553"/>
      <c r="B15" s="553"/>
      <c r="C15" s="553"/>
      <c r="D15" s="554" t="s">
        <v>212</v>
      </c>
      <c r="E15" s="554">
        <f>E16+E20+E23+E28+E55+E68+E78+E81+E85+E91+E94+E97</f>
        <v>907856</v>
      </c>
      <c r="F15" s="554">
        <f>F16+F20+F23+F28+F52+F55+F68+F78+F81+F85+F91+F94+F97</f>
        <v>443356</v>
      </c>
    </row>
    <row r="16" spans="1:6" ht="18.75" customHeight="1">
      <c r="A16" s="520">
        <v>600</v>
      </c>
      <c r="B16" s="520">
        <v>60014</v>
      </c>
      <c r="C16" s="520">
        <v>2310</v>
      </c>
      <c r="D16" s="520" t="s">
        <v>411</v>
      </c>
      <c r="E16" s="520">
        <f>E19</f>
        <v>0</v>
      </c>
      <c r="F16" s="520">
        <f>F19</f>
        <v>50000</v>
      </c>
    </row>
    <row r="17" spans="1:6" ht="9.75" customHeight="1">
      <c r="A17" s="62"/>
      <c r="B17" s="62"/>
      <c r="C17" s="62"/>
      <c r="D17" s="285" t="s">
        <v>883</v>
      </c>
      <c r="E17" s="62"/>
      <c r="F17" s="62"/>
    </row>
    <row r="18" spans="1:6" ht="15.75" customHeight="1" hidden="1">
      <c r="A18" s="62"/>
      <c r="B18" s="62"/>
      <c r="C18" s="62"/>
      <c r="D18" s="22" t="s">
        <v>414</v>
      </c>
      <c r="E18" s="62">
        <v>0</v>
      </c>
      <c r="F18" s="62">
        <v>0</v>
      </c>
    </row>
    <row r="19" spans="1:6" ht="15.75" customHeight="1">
      <c r="A19" s="62"/>
      <c r="B19" s="62"/>
      <c r="C19" s="62">
        <v>2310</v>
      </c>
      <c r="D19" s="22" t="s">
        <v>344</v>
      </c>
      <c r="E19" s="62">
        <v>0</v>
      </c>
      <c r="F19" s="62">
        <v>50000</v>
      </c>
    </row>
    <row r="20" spans="1:6" ht="15.75" customHeight="1">
      <c r="A20" s="519" t="s">
        <v>456</v>
      </c>
      <c r="B20" s="519" t="s">
        <v>97</v>
      </c>
      <c r="C20" s="520">
        <v>2310</v>
      </c>
      <c r="D20" s="424" t="s">
        <v>556</v>
      </c>
      <c r="E20" s="520">
        <f>E22</f>
        <v>0</v>
      </c>
      <c r="F20" s="520">
        <f>F22</f>
        <v>1700</v>
      </c>
    </row>
    <row r="21" spans="1:6" ht="12.75" customHeight="1">
      <c r="A21" s="62"/>
      <c r="B21" s="62"/>
      <c r="C21" s="62"/>
      <c r="D21" s="22" t="s">
        <v>883</v>
      </c>
      <c r="E21" s="62"/>
      <c r="F21" s="62"/>
    </row>
    <row r="22" spans="1:6" ht="15.75" customHeight="1">
      <c r="A22" s="62"/>
      <c r="B22" s="62"/>
      <c r="C22" s="62">
        <v>2310</v>
      </c>
      <c r="D22" s="22" t="s">
        <v>345</v>
      </c>
      <c r="E22" s="62">
        <v>0</v>
      </c>
      <c r="F22" s="62">
        <v>1700</v>
      </c>
    </row>
    <row r="23" spans="1:6" ht="25.5" customHeight="1">
      <c r="A23" s="521">
        <v>754</v>
      </c>
      <c r="B23" s="521">
        <v>75411</v>
      </c>
      <c r="C23" s="521">
        <v>2310</v>
      </c>
      <c r="D23" s="525" t="s">
        <v>128</v>
      </c>
      <c r="E23" s="521">
        <f>E25+E26+E27</f>
        <v>1000</v>
      </c>
      <c r="F23" s="521">
        <f>F25+F26+F27</f>
        <v>0</v>
      </c>
    </row>
    <row r="24" spans="1:6" ht="15.75" customHeight="1">
      <c r="A24" s="62"/>
      <c r="B24" s="62"/>
      <c r="C24" s="62"/>
      <c r="D24" s="22" t="s">
        <v>883</v>
      </c>
      <c r="E24" s="62"/>
      <c r="F24" s="62"/>
    </row>
    <row r="25" spans="1:6" ht="15.75" customHeight="1">
      <c r="A25" s="62"/>
      <c r="B25" s="62"/>
      <c r="C25" s="62"/>
      <c r="D25" s="22" t="s">
        <v>342</v>
      </c>
      <c r="E25" s="62">
        <v>1000</v>
      </c>
      <c r="F25" s="62">
        <v>0</v>
      </c>
    </row>
    <row r="26" spans="1:6" ht="15.75" customHeight="1">
      <c r="A26" s="62"/>
      <c r="B26" s="62"/>
      <c r="C26" s="62"/>
      <c r="D26" s="22" t="s">
        <v>346</v>
      </c>
      <c r="E26" s="62">
        <v>0</v>
      </c>
      <c r="F26" s="62">
        <v>0</v>
      </c>
    </row>
    <row r="27" spans="1:6" ht="15.75" customHeight="1">
      <c r="A27" s="62"/>
      <c r="B27" s="62"/>
      <c r="C27" s="62"/>
      <c r="D27" s="22" t="s">
        <v>343</v>
      </c>
      <c r="E27" s="62">
        <v>0</v>
      </c>
      <c r="F27" s="62">
        <v>0</v>
      </c>
    </row>
    <row r="28" spans="1:6" ht="13.5" customHeight="1">
      <c r="A28" s="520">
        <v>600</v>
      </c>
      <c r="B28" s="520">
        <v>60014</v>
      </c>
      <c r="C28" s="520">
        <v>6610</v>
      </c>
      <c r="D28" s="520" t="s">
        <v>411</v>
      </c>
      <c r="E28" s="520">
        <f>E30+E32+E31</f>
        <v>163000</v>
      </c>
      <c r="F28" s="520">
        <f>F30+F32+F31</f>
        <v>0</v>
      </c>
    </row>
    <row r="29" spans="1:6" ht="12" customHeight="1">
      <c r="A29" s="62"/>
      <c r="B29" s="62"/>
      <c r="C29" s="62"/>
      <c r="D29" s="285" t="s">
        <v>883</v>
      </c>
      <c r="E29" s="62"/>
      <c r="F29" s="62"/>
    </row>
    <row r="30" spans="1:6" ht="15" customHeight="1">
      <c r="A30" s="22"/>
      <c r="B30" s="22"/>
      <c r="C30" s="62">
        <v>6610</v>
      </c>
      <c r="D30" s="22" t="s">
        <v>344</v>
      </c>
      <c r="E30" s="62">
        <v>93000</v>
      </c>
      <c r="F30" s="62">
        <v>0</v>
      </c>
    </row>
    <row r="31" spans="1:6" ht="15" customHeight="1">
      <c r="A31" s="22"/>
      <c r="B31" s="22"/>
      <c r="C31" s="62">
        <v>6610</v>
      </c>
      <c r="D31" s="22" t="s">
        <v>347</v>
      </c>
      <c r="E31" s="62">
        <v>50000</v>
      </c>
      <c r="F31" s="62">
        <v>0</v>
      </c>
    </row>
    <row r="32" spans="1:6" ht="15" customHeight="1">
      <c r="A32" s="22"/>
      <c r="B32" s="22"/>
      <c r="C32" s="62">
        <v>6610</v>
      </c>
      <c r="D32" s="22" t="s">
        <v>345</v>
      </c>
      <c r="E32" s="62">
        <v>20000</v>
      </c>
      <c r="F32" s="62">
        <v>0</v>
      </c>
    </row>
    <row r="33" spans="1:6" ht="15" customHeight="1" hidden="1">
      <c r="A33" s="58">
        <v>600</v>
      </c>
      <c r="B33" s="58">
        <v>60014</v>
      </c>
      <c r="C33" s="16">
        <v>663</v>
      </c>
      <c r="D33" s="16" t="s">
        <v>411</v>
      </c>
      <c r="E33" s="16">
        <f>E35</f>
        <v>0</v>
      </c>
      <c r="F33" s="16">
        <f>F35</f>
        <v>0</v>
      </c>
    </row>
    <row r="34" spans="1:6" ht="12" customHeight="1" hidden="1">
      <c r="A34" s="22"/>
      <c r="B34" s="22"/>
      <c r="C34" s="62"/>
      <c r="D34" s="285" t="s">
        <v>883</v>
      </c>
      <c r="E34" s="62"/>
      <c r="F34" s="62"/>
    </row>
    <row r="35" spans="1:6" ht="15" customHeight="1" hidden="1">
      <c r="A35" s="22"/>
      <c r="B35" s="22"/>
      <c r="C35" s="62"/>
      <c r="D35" s="22" t="s">
        <v>441</v>
      </c>
      <c r="E35" s="62">
        <v>0</v>
      </c>
      <c r="F35" s="62">
        <v>0</v>
      </c>
    </row>
    <row r="36" spans="1:6" ht="15" customHeight="1" hidden="1">
      <c r="A36" s="58">
        <v>851</v>
      </c>
      <c r="B36" s="58">
        <v>85111</v>
      </c>
      <c r="C36" s="16">
        <v>231</v>
      </c>
      <c r="D36" s="58" t="s">
        <v>681</v>
      </c>
      <c r="E36" s="16">
        <f>E38+E39</f>
        <v>124000</v>
      </c>
      <c r="F36" s="16">
        <f>F38</f>
        <v>0</v>
      </c>
    </row>
    <row r="37" spans="1:6" ht="9.75" customHeight="1" hidden="1">
      <c r="A37" s="22"/>
      <c r="B37" s="22"/>
      <c r="C37" s="62"/>
      <c r="D37" s="285" t="s">
        <v>883</v>
      </c>
      <c r="E37" s="62"/>
      <c r="F37" s="62"/>
    </row>
    <row r="38" spans="1:6" ht="15" customHeight="1" hidden="1">
      <c r="A38" s="22"/>
      <c r="B38" s="22"/>
      <c r="C38" s="62"/>
      <c r="D38" s="22" t="s">
        <v>413</v>
      </c>
      <c r="E38" s="62">
        <v>100000</v>
      </c>
      <c r="F38" s="62">
        <v>0</v>
      </c>
    </row>
    <row r="39" spans="1:6" ht="15" customHeight="1" hidden="1">
      <c r="A39" s="22"/>
      <c r="B39" s="22"/>
      <c r="C39" s="62"/>
      <c r="D39" s="22" t="s">
        <v>412</v>
      </c>
      <c r="E39" s="62">
        <v>24000</v>
      </c>
      <c r="F39" s="62">
        <v>0</v>
      </c>
    </row>
    <row r="40" spans="1:6" ht="15" customHeight="1" hidden="1">
      <c r="A40" s="58">
        <v>600</v>
      </c>
      <c r="B40" s="58">
        <v>60014</v>
      </c>
      <c r="C40" s="16">
        <v>6610</v>
      </c>
      <c r="D40" s="16" t="s">
        <v>411</v>
      </c>
      <c r="E40" s="62">
        <f>E42</f>
        <v>0</v>
      </c>
      <c r="F40" s="16">
        <f>F42</f>
        <v>0</v>
      </c>
    </row>
    <row r="41" spans="1:6" ht="11.25" customHeight="1" hidden="1">
      <c r="A41" s="22"/>
      <c r="B41" s="22"/>
      <c r="C41" s="62"/>
      <c r="D41" s="285" t="s">
        <v>883</v>
      </c>
      <c r="E41" s="62"/>
      <c r="F41" s="62"/>
    </row>
    <row r="42" spans="1:6" ht="15" customHeight="1" hidden="1">
      <c r="A42" s="22"/>
      <c r="B42" s="22"/>
      <c r="C42" s="62"/>
      <c r="D42" s="22" t="s">
        <v>413</v>
      </c>
      <c r="E42" s="62">
        <v>0</v>
      </c>
      <c r="F42" s="62">
        <v>0</v>
      </c>
    </row>
    <row r="43" spans="1:6" ht="15.75" customHeight="1" hidden="1">
      <c r="A43" s="16">
        <v>630</v>
      </c>
      <c r="B43" s="16">
        <v>63001</v>
      </c>
      <c r="C43" s="16">
        <v>6620</v>
      </c>
      <c r="D43" s="16" t="s">
        <v>399</v>
      </c>
      <c r="E43" s="16">
        <f>E45</f>
        <v>0</v>
      </c>
      <c r="F43" s="16">
        <v>0</v>
      </c>
    </row>
    <row r="44" spans="1:6" ht="12" customHeight="1" hidden="1">
      <c r="A44" s="62"/>
      <c r="B44" s="62"/>
      <c r="C44" s="62"/>
      <c r="D44" s="285" t="s">
        <v>883</v>
      </c>
      <c r="E44" s="62"/>
      <c r="F44" s="62">
        <v>0</v>
      </c>
    </row>
    <row r="45" spans="1:6" ht="26.25" customHeight="1" hidden="1">
      <c r="A45" s="62"/>
      <c r="B45" s="62"/>
      <c r="C45" s="62"/>
      <c r="D45" s="164" t="s">
        <v>405</v>
      </c>
      <c r="E45" s="62">
        <v>0</v>
      </c>
      <c r="F45" s="62">
        <v>0</v>
      </c>
    </row>
    <row r="46" spans="1:6" ht="17.25" customHeight="1" hidden="1">
      <c r="A46" s="16">
        <v>630</v>
      </c>
      <c r="B46" s="16">
        <v>63001</v>
      </c>
      <c r="C46" s="16">
        <v>6610</v>
      </c>
      <c r="D46" s="16" t="s">
        <v>399</v>
      </c>
      <c r="E46" s="62">
        <v>0</v>
      </c>
      <c r="F46" s="16">
        <f>F48</f>
        <v>0</v>
      </c>
    </row>
    <row r="47" spans="1:6" ht="10.5" customHeight="1" hidden="1">
      <c r="A47" s="62"/>
      <c r="B47" s="62"/>
      <c r="C47" s="62"/>
      <c r="D47" s="285" t="s">
        <v>883</v>
      </c>
      <c r="E47" s="62">
        <v>0</v>
      </c>
      <c r="F47" s="62"/>
    </row>
    <row r="48" spans="1:6" ht="15.75" customHeight="1" hidden="1">
      <c r="A48" s="62"/>
      <c r="B48" s="62"/>
      <c r="C48" s="62"/>
      <c r="D48" s="164" t="s">
        <v>413</v>
      </c>
      <c r="E48" s="62">
        <v>0</v>
      </c>
      <c r="F48" s="62">
        <v>0</v>
      </c>
    </row>
    <row r="49" spans="1:6" ht="15.75" customHeight="1" hidden="1">
      <c r="A49" s="26" t="s">
        <v>456</v>
      </c>
      <c r="B49" s="26" t="s">
        <v>97</v>
      </c>
      <c r="C49" s="16">
        <v>2310</v>
      </c>
      <c r="D49" s="60" t="s">
        <v>556</v>
      </c>
      <c r="E49" s="16">
        <v>0</v>
      </c>
      <c r="F49" s="16">
        <f>F51</f>
        <v>0</v>
      </c>
    </row>
    <row r="50" spans="1:6" ht="11.25" customHeight="1" hidden="1">
      <c r="A50" s="34"/>
      <c r="B50" s="34"/>
      <c r="C50" s="62"/>
      <c r="D50" s="284" t="s">
        <v>883</v>
      </c>
      <c r="E50" s="62">
        <v>0</v>
      </c>
      <c r="F50" s="62"/>
    </row>
    <row r="51" spans="1:6" ht="15.75" customHeight="1" hidden="1">
      <c r="A51" s="34"/>
      <c r="B51" s="34"/>
      <c r="C51" s="62"/>
      <c r="D51" s="164" t="s">
        <v>372</v>
      </c>
      <c r="E51" s="62">
        <v>0</v>
      </c>
      <c r="F51" s="62">
        <v>0</v>
      </c>
    </row>
    <row r="52" spans="1:6" ht="27" customHeight="1">
      <c r="A52" s="423">
        <v>801</v>
      </c>
      <c r="B52" s="423">
        <v>80146</v>
      </c>
      <c r="C52" s="520">
        <v>2320</v>
      </c>
      <c r="D52" s="525" t="s">
        <v>884</v>
      </c>
      <c r="E52" s="520">
        <f>E54</f>
        <v>0</v>
      </c>
      <c r="F52" s="520">
        <f>F54</f>
        <v>12000</v>
      </c>
    </row>
    <row r="53" spans="1:6" ht="10.5" customHeight="1">
      <c r="A53" s="3"/>
      <c r="B53" s="3"/>
      <c r="C53" s="3"/>
      <c r="D53" s="285" t="s">
        <v>883</v>
      </c>
      <c r="E53" s="3"/>
      <c r="F53" s="3"/>
    </row>
    <row r="54" spans="1:6" ht="15" customHeight="1">
      <c r="A54" s="3"/>
      <c r="B54" s="3"/>
      <c r="C54" s="3">
        <v>2320</v>
      </c>
      <c r="D54" s="18" t="s">
        <v>348</v>
      </c>
      <c r="E54" s="3">
        <v>0</v>
      </c>
      <c r="F54" s="3">
        <v>12000</v>
      </c>
    </row>
    <row r="55" spans="1:6" ht="24" customHeight="1">
      <c r="A55" s="520">
        <v>852</v>
      </c>
      <c r="B55" s="423">
        <v>85201</v>
      </c>
      <c r="C55" s="520">
        <v>2320</v>
      </c>
      <c r="D55" s="544" t="s">
        <v>563</v>
      </c>
      <c r="E55" s="520">
        <f>E57+E58+E59+E60+E65+E66+E67</f>
        <v>239521</v>
      </c>
      <c r="F55" s="520">
        <f>F57+F58+F59+F60</f>
        <v>315230</v>
      </c>
    </row>
    <row r="56" spans="1:6" ht="10.5" customHeight="1">
      <c r="A56" s="3"/>
      <c r="B56" s="3"/>
      <c r="C56" s="3"/>
      <c r="D56" s="286" t="s">
        <v>883</v>
      </c>
      <c r="E56" s="3"/>
      <c r="F56" s="3"/>
    </row>
    <row r="57" spans="1:6" ht="15" customHeight="1">
      <c r="A57" s="3"/>
      <c r="B57" s="3"/>
      <c r="C57" s="3">
        <v>2320</v>
      </c>
      <c r="D57" s="31" t="s">
        <v>234</v>
      </c>
      <c r="E57" s="3">
        <v>39920</v>
      </c>
      <c r="F57" s="3">
        <v>56016</v>
      </c>
    </row>
    <row r="58" spans="1:6" ht="18" customHeight="1">
      <c r="A58" s="3"/>
      <c r="B58" s="3"/>
      <c r="C58" s="3">
        <v>2320</v>
      </c>
      <c r="D58" s="31" t="s">
        <v>235</v>
      </c>
      <c r="E58" s="3">
        <v>0</v>
      </c>
      <c r="F58" s="3">
        <v>31944</v>
      </c>
    </row>
    <row r="59" spans="1:6" ht="21" customHeight="1">
      <c r="A59" s="3"/>
      <c r="B59" s="3"/>
      <c r="C59" s="3">
        <v>2320</v>
      </c>
      <c r="D59" s="31" t="s">
        <v>236</v>
      </c>
      <c r="E59" s="3">
        <v>0</v>
      </c>
      <c r="F59" s="3">
        <v>88200</v>
      </c>
    </row>
    <row r="60" spans="1:6" ht="15" customHeight="1">
      <c r="A60" s="3"/>
      <c r="B60" s="3"/>
      <c r="C60" s="3">
        <v>2320</v>
      </c>
      <c r="D60" s="18" t="s">
        <v>237</v>
      </c>
      <c r="E60" s="3">
        <v>106453</v>
      </c>
      <c r="F60" s="3">
        <v>139070</v>
      </c>
    </row>
    <row r="61" spans="1:6" ht="25.5" customHeight="1" hidden="1">
      <c r="A61" s="7">
        <v>854</v>
      </c>
      <c r="B61" s="7">
        <v>85417</v>
      </c>
      <c r="C61" s="16">
        <v>2310</v>
      </c>
      <c r="D61" s="4" t="s">
        <v>885</v>
      </c>
      <c r="E61" s="16">
        <v>0</v>
      </c>
      <c r="F61" s="16">
        <f>F63+F64</f>
        <v>0</v>
      </c>
    </row>
    <row r="62" spans="1:6" ht="7.5" customHeight="1" hidden="1">
      <c r="A62" s="8"/>
      <c r="B62" s="8"/>
      <c r="C62" s="3"/>
      <c r="D62" s="249" t="s">
        <v>883</v>
      </c>
      <c r="E62" s="3"/>
      <c r="F62" s="3"/>
    </row>
    <row r="63" spans="1:6" ht="18" customHeight="1" hidden="1">
      <c r="A63" s="8"/>
      <c r="B63" s="8"/>
      <c r="C63" s="3"/>
      <c r="D63" s="64" t="s">
        <v>886</v>
      </c>
      <c r="E63" s="3">
        <v>0</v>
      </c>
      <c r="F63" s="3">
        <v>0</v>
      </c>
    </row>
    <row r="64" spans="1:6" ht="15" customHeight="1" hidden="1">
      <c r="A64" s="8"/>
      <c r="B64" s="8"/>
      <c r="C64" s="3"/>
      <c r="D64" s="64" t="s">
        <v>887</v>
      </c>
      <c r="E64" s="3">
        <v>0</v>
      </c>
      <c r="F64" s="3">
        <v>0</v>
      </c>
    </row>
    <row r="65" spans="1:6" ht="15" customHeight="1">
      <c r="A65" s="8"/>
      <c r="B65" s="8"/>
      <c r="C65" s="3">
        <v>2320</v>
      </c>
      <c r="D65" s="64" t="s">
        <v>239</v>
      </c>
      <c r="E65" s="3">
        <v>39920</v>
      </c>
      <c r="F65" s="3"/>
    </row>
    <row r="66" spans="1:6" ht="15" customHeight="1">
      <c r="A66" s="8"/>
      <c r="B66" s="8"/>
      <c r="C66" s="3">
        <v>2320</v>
      </c>
      <c r="D66" s="64" t="s">
        <v>240</v>
      </c>
      <c r="E66" s="3">
        <v>26614</v>
      </c>
      <c r="F66" s="3"/>
    </row>
    <row r="67" spans="1:6" ht="15" customHeight="1">
      <c r="A67" s="8"/>
      <c r="B67" s="8"/>
      <c r="C67" s="3">
        <v>2320</v>
      </c>
      <c r="D67" s="64" t="s">
        <v>238</v>
      </c>
      <c r="E67" s="3">
        <v>26614</v>
      </c>
      <c r="F67" s="3">
        <v>0</v>
      </c>
    </row>
    <row r="68" spans="1:7" ht="15" customHeight="1">
      <c r="A68" s="430">
        <v>852</v>
      </c>
      <c r="B68" s="430">
        <v>85204</v>
      </c>
      <c r="C68" s="520"/>
      <c r="D68" s="545" t="s">
        <v>881</v>
      </c>
      <c r="E68" s="520">
        <f>E70+E71+E72+E73</f>
        <v>27747</v>
      </c>
      <c r="F68" s="520">
        <f>F70+F71+F73</f>
        <v>17206</v>
      </c>
      <c r="G68" s="37"/>
    </row>
    <row r="69" spans="1:6" ht="11.25" customHeight="1">
      <c r="A69" s="8"/>
      <c r="B69" s="8"/>
      <c r="C69" s="3"/>
      <c r="D69" s="64" t="s">
        <v>883</v>
      </c>
      <c r="E69" s="3"/>
      <c r="F69" s="3"/>
    </row>
    <row r="70" spans="1:6" ht="15" customHeight="1">
      <c r="A70" s="8"/>
      <c r="B70" s="8"/>
      <c r="C70" s="3">
        <v>2310</v>
      </c>
      <c r="D70" s="64" t="s">
        <v>352</v>
      </c>
      <c r="E70" s="3">
        <v>0</v>
      </c>
      <c r="F70" s="3">
        <v>10679</v>
      </c>
    </row>
    <row r="71" spans="1:6" ht="14.25" customHeight="1">
      <c r="A71" s="8"/>
      <c r="B71" s="8"/>
      <c r="C71" s="3">
        <v>2320</v>
      </c>
      <c r="D71" s="64" t="s">
        <v>353</v>
      </c>
      <c r="E71" s="3">
        <v>0</v>
      </c>
      <c r="F71" s="3">
        <v>6527</v>
      </c>
    </row>
    <row r="72" spans="1:6" ht="14.25" customHeight="1">
      <c r="A72" s="8"/>
      <c r="B72" s="8"/>
      <c r="C72" s="3">
        <v>2320</v>
      </c>
      <c r="D72" s="64" t="s">
        <v>230</v>
      </c>
      <c r="E72" s="3">
        <v>4405</v>
      </c>
      <c r="F72" s="3">
        <v>0</v>
      </c>
    </row>
    <row r="73" spans="1:6" ht="15" customHeight="1">
      <c r="A73" s="8"/>
      <c r="B73" s="8"/>
      <c r="C73" s="3">
        <v>2320</v>
      </c>
      <c r="D73" s="64" t="s">
        <v>354</v>
      </c>
      <c r="E73" s="3">
        <v>23342</v>
      </c>
      <c r="F73" s="3">
        <v>0</v>
      </c>
    </row>
    <row r="74" spans="1:6" ht="12" customHeight="1" hidden="1">
      <c r="A74" s="8"/>
      <c r="B74" s="8"/>
      <c r="C74" s="3"/>
      <c r="D74" s="64" t="s">
        <v>888</v>
      </c>
      <c r="E74" s="3">
        <v>0</v>
      </c>
      <c r="F74" s="3">
        <v>0</v>
      </c>
    </row>
    <row r="75" spans="1:6" ht="15" customHeight="1" hidden="1">
      <c r="A75" s="7">
        <v>750</v>
      </c>
      <c r="B75" s="7">
        <v>75018</v>
      </c>
      <c r="C75" s="16">
        <v>2330</v>
      </c>
      <c r="D75" s="65" t="s">
        <v>373</v>
      </c>
      <c r="E75" s="16">
        <v>0</v>
      </c>
      <c r="F75" s="16">
        <f>F77</f>
        <v>0</v>
      </c>
    </row>
    <row r="76" spans="1:6" ht="10.5" customHeight="1" hidden="1">
      <c r="A76" s="20"/>
      <c r="B76" s="20"/>
      <c r="C76" s="62"/>
      <c r="D76" s="287" t="s">
        <v>883</v>
      </c>
      <c r="E76" s="62"/>
      <c r="F76" s="62"/>
    </row>
    <row r="77" spans="1:6" ht="24.75" customHeight="1" hidden="1">
      <c r="A77" s="20"/>
      <c r="B77" s="20"/>
      <c r="C77" s="62"/>
      <c r="D77" s="232" t="s">
        <v>379</v>
      </c>
      <c r="E77" s="62">
        <v>0</v>
      </c>
      <c r="F77" s="62">
        <v>0</v>
      </c>
    </row>
    <row r="78" spans="1:6" ht="24.75" customHeight="1">
      <c r="A78" s="430">
        <v>750</v>
      </c>
      <c r="B78" s="430">
        <v>75018</v>
      </c>
      <c r="C78" s="520">
        <v>2330</v>
      </c>
      <c r="D78" s="545" t="s">
        <v>373</v>
      </c>
      <c r="E78" s="520">
        <f>E80</f>
        <v>0</v>
      </c>
      <c r="F78" s="520">
        <f>F80</f>
        <v>2720</v>
      </c>
    </row>
    <row r="79" spans="1:6" ht="13.5" customHeight="1">
      <c r="A79" s="20"/>
      <c r="B79" s="20"/>
      <c r="C79" s="62"/>
      <c r="D79" s="232" t="s">
        <v>883</v>
      </c>
      <c r="E79" s="62"/>
      <c r="F79" s="62"/>
    </row>
    <row r="80" spans="1:6" ht="22.5" customHeight="1">
      <c r="A80" s="20"/>
      <c r="B80" s="20"/>
      <c r="C80" s="62"/>
      <c r="D80" s="232" t="s">
        <v>356</v>
      </c>
      <c r="E80" s="62">
        <v>0</v>
      </c>
      <c r="F80" s="62">
        <v>2720</v>
      </c>
    </row>
    <row r="81" spans="1:6" ht="21.75" customHeight="1">
      <c r="A81" s="430">
        <v>750</v>
      </c>
      <c r="B81" s="430">
        <v>75020</v>
      </c>
      <c r="C81" s="520">
        <v>2310</v>
      </c>
      <c r="D81" s="545" t="s">
        <v>551</v>
      </c>
      <c r="E81" s="520">
        <f>E83+E84</f>
        <v>0</v>
      </c>
      <c r="F81" s="520">
        <f>F83+F84</f>
        <v>10000</v>
      </c>
    </row>
    <row r="82" spans="1:6" ht="12" customHeight="1">
      <c r="A82" s="20"/>
      <c r="B82" s="20"/>
      <c r="C82" s="62"/>
      <c r="D82" s="232" t="s">
        <v>883</v>
      </c>
      <c r="E82" s="62"/>
      <c r="F82" s="62"/>
    </row>
    <row r="83" spans="1:6" ht="15.75" customHeight="1">
      <c r="A83" s="20"/>
      <c r="B83" s="20"/>
      <c r="C83" s="62">
        <v>2310</v>
      </c>
      <c r="D83" s="232" t="s">
        <v>349</v>
      </c>
      <c r="E83" s="62">
        <v>0</v>
      </c>
      <c r="F83" s="62">
        <v>5000</v>
      </c>
    </row>
    <row r="84" spans="1:6" ht="15.75" customHeight="1">
      <c r="A84" s="20"/>
      <c r="B84" s="20"/>
      <c r="C84" s="62">
        <v>2310</v>
      </c>
      <c r="D84" s="232" t="s">
        <v>232</v>
      </c>
      <c r="E84" s="62">
        <v>0</v>
      </c>
      <c r="F84" s="62">
        <v>5000</v>
      </c>
    </row>
    <row r="85" spans="1:6" ht="15.75" customHeight="1">
      <c r="A85" s="430">
        <v>851</v>
      </c>
      <c r="B85" s="430">
        <v>85111</v>
      </c>
      <c r="C85" s="520">
        <v>6619</v>
      </c>
      <c r="D85" s="545" t="s">
        <v>681</v>
      </c>
      <c r="E85" s="520">
        <f>E87+E88+E89+E90</f>
        <v>411588</v>
      </c>
      <c r="F85" s="520">
        <f>F87+F88+F90</f>
        <v>0</v>
      </c>
    </row>
    <row r="86" spans="1:6" ht="12" customHeight="1">
      <c r="A86" s="20"/>
      <c r="B86" s="20"/>
      <c r="C86" s="62"/>
      <c r="D86" s="232" t="s">
        <v>883</v>
      </c>
      <c r="E86" s="62"/>
      <c r="F86" s="62"/>
    </row>
    <row r="87" spans="1:6" ht="15.75" customHeight="1">
      <c r="A87" s="20"/>
      <c r="B87" s="20"/>
      <c r="C87" s="62">
        <v>6619</v>
      </c>
      <c r="D87" s="232" t="s">
        <v>355</v>
      </c>
      <c r="E87" s="62">
        <v>318892</v>
      </c>
      <c r="F87" s="62">
        <v>0</v>
      </c>
    </row>
    <row r="88" spans="1:6" ht="15.75" customHeight="1">
      <c r="A88" s="20"/>
      <c r="B88" s="20"/>
      <c r="C88" s="62">
        <v>6619</v>
      </c>
      <c r="D88" s="232" t="s">
        <v>349</v>
      </c>
      <c r="E88" s="62">
        <v>44690</v>
      </c>
      <c r="F88" s="62">
        <v>0</v>
      </c>
    </row>
    <row r="89" spans="1:6" ht="15.75" customHeight="1">
      <c r="A89" s="20"/>
      <c r="B89" s="20"/>
      <c r="C89" s="62">
        <v>6619</v>
      </c>
      <c r="D89" s="232" t="s">
        <v>233</v>
      </c>
      <c r="E89" s="62">
        <v>18003</v>
      </c>
      <c r="F89" s="62"/>
    </row>
    <row r="90" spans="1:6" ht="15.75" customHeight="1">
      <c r="A90" s="20"/>
      <c r="B90" s="20"/>
      <c r="C90" s="62">
        <v>6619</v>
      </c>
      <c r="D90" s="232" t="s">
        <v>350</v>
      </c>
      <c r="E90" s="62">
        <v>30003</v>
      </c>
      <c r="F90" s="62">
        <v>0</v>
      </c>
    </row>
    <row r="91" spans="1:6" ht="15.75" customHeight="1">
      <c r="A91" s="430">
        <v>854</v>
      </c>
      <c r="B91" s="430">
        <v>85417</v>
      </c>
      <c r="C91" s="520">
        <v>2310</v>
      </c>
      <c r="D91" s="545" t="s">
        <v>357</v>
      </c>
      <c r="E91" s="520">
        <f>E93</f>
        <v>0</v>
      </c>
      <c r="F91" s="520">
        <f>F93</f>
        <v>1500</v>
      </c>
    </row>
    <row r="92" spans="1:6" ht="13.5" customHeight="1">
      <c r="A92" s="20"/>
      <c r="B92" s="20"/>
      <c r="C92" s="62"/>
      <c r="D92" s="232" t="s">
        <v>883</v>
      </c>
      <c r="E92" s="62"/>
      <c r="F92" s="62"/>
    </row>
    <row r="93" spans="1:6" ht="15.75" customHeight="1">
      <c r="A93" s="20"/>
      <c r="B93" s="20"/>
      <c r="C93" s="62">
        <v>2310</v>
      </c>
      <c r="D93" s="232" t="s">
        <v>350</v>
      </c>
      <c r="E93" s="62">
        <v>0</v>
      </c>
      <c r="F93" s="62">
        <v>1500</v>
      </c>
    </row>
    <row r="94" spans="1:6" ht="26.25" customHeight="1">
      <c r="A94" s="430">
        <v>921</v>
      </c>
      <c r="B94" s="430">
        <v>92116</v>
      </c>
      <c r="C94" s="520">
        <v>6630</v>
      </c>
      <c r="D94" s="545" t="s">
        <v>889</v>
      </c>
      <c r="E94" s="520">
        <f>E96</f>
        <v>65000</v>
      </c>
      <c r="F94" s="520">
        <f>F96</f>
        <v>0</v>
      </c>
    </row>
    <row r="95" spans="1:6" ht="12" customHeight="1">
      <c r="A95" s="20"/>
      <c r="B95" s="20"/>
      <c r="C95" s="62"/>
      <c r="D95" s="232" t="s">
        <v>883</v>
      </c>
      <c r="E95" s="62"/>
      <c r="F95" s="62"/>
    </row>
    <row r="96" spans="1:6" ht="15.75" customHeight="1">
      <c r="A96" s="20"/>
      <c r="B96" s="20"/>
      <c r="C96" s="62">
        <v>6630</v>
      </c>
      <c r="D96" s="232" t="s">
        <v>231</v>
      </c>
      <c r="E96" s="62">
        <v>65000</v>
      </c>
      <c r="F96" s="62">
        <v>0</v>
      </c>
    </row>
    <row r="97" spans="1:6" ht="27.75" customHeight="1">
      <c r="A97" s="430">
        <v>921</v>
      </c>
      <c r="B97" s="430">
        <v>92116</v>
      </c>
      <c r="C97" s="520">
        <v>2310</v>
      </c>
      <c r="D97" s="545" t="s">
        <v>889</v>
      </c>
      <c r="E97" s="520">
        <v>0</v>
      </c>
      <c r="F97" s="520">
        <f>F99</f>
        <v>33000</v>
      </c>
    </row>
    <row r="98" spans="1:6" ht="11.25" customHeight="1">
      <c r="A98" s="8"/>
      <c r="B98" s="8"/>
      <c r="C98" s="3"/>
      <c r="D98" s="288" t="s">
        <v>883</v>
      </c>
      <c r="E98" s="3"/>
      <c r="F98" s="3"/>
    </row>
    <row r="99" spans="1:6" ht="15" customHeight="1">
      <c r="A99" s="8"/>
      <c r="B99" s="8"/>
      <c r="C99" s="3">
        <v>2310</v>
      </c>
      <c r="D99" s="64" t="s">
        <v>351</v>
      </c>
      <c r="E99" s="3">
        <v>0</v>
      </c>
      <c r="F99" s="3">
        <v>33000</v>
      </c>
    </row>
    <row r="100" spans="1:6" ht="15" customHeight="1" hidden="1">
      <c r="A100" s="7">
        <v>921</v>
      </c>
      <c r="B100" s="7">
        <v>92195</v>
      </c>
      <c r="C100" s="16">
        <v>2310</v>
      </c>
      <c r="D100" s="65" t="s">
        <v>556</v>
      </c>
      <c r="E100" s="16">
        <f>E102</f>
        <v>0</v>
      </c>
      <c r="F100" s="16">
        <f>F102</f>
        <v>0</v>
      </c>
    </row>
    <row r="101" spans="1:6" ht="10.5" customHeight="1" hidden="1">
      <c r="A101" s="8"/>
      <c r="B101" s="8"/>
      <c r="C101" s="3"/>
      <c r="D101" s="287" t="s">
        <v>883</v>
      </c>
      <c r="E101" s="3"/>
      <c r="F101" s="3"/>
    </row>
    <row r="102" spans="1:6" ht="15" customHeight="1" hidden="1">
      <c r="A102" s="8"/>
      <c r="B102" s="8"/>
      <c r="C102" s="3"/>
      <c r="D102" s="64" t="s">
        <v>413</v>
      </c>
      <c r="E102" s="3">
        <v>0</v>
      </c>
      <c r="F102" s="3">
        <v>0</v>
      </c>
    </row>
    <row r="103" spans="1:7" ht="14.25" customHeight="1">
      <c r="A103" s="555"/>
      <c r="B103" s="555"/>
      <c r="C103" s="554"/>
      <c r="D103" s="556" t="s">
        <v>213</v>
      </c>
      <c r="E103" s="554">
        <f>E6+E15</f>
        <v>1338062</v>
      </c>
      <c r="F103" s="554">
        <f>F6+F15</f>
        <v>443356</v>
      </c>
      <c r="G103" s="160"/>
    </row>
    <row r="104" ht="10.5" customHeight="1" hidden="1"/>
    <row r="105" spans="1:6" ht="15" customHeight="1">
      <c r="A105" s="706" t="s">
        <v>148</v>
      </c>
      <c r="B105" s="706"/>
      <c r="C105" s="706"/>
      <c r="D105" s="706"/>
      <c r="E105" s="706"/>
      <c r="F105" s="706"/>
    </row>
    <row r="106" spans="1:6" ht="15" customHeight="1">
      <c r="A106" s="113"/>
      <c r="B106" s="113"/>
      <c r="C106" s="113"/>
      <c r="D106" s="113" t="s">
        <v>149</v>
      </c>
      <c r="E106" s="113"/>
      <c r="F106" s="113"/>
    </row>
    <row r="107" spans="1:6" ht="13.5" customHeight="1">
      <c r="A107" s="113"/>
      <c r="B107" s="113"/>
      <c r="C107" s="113"/>
      <c r="D107" s="113"/>
      <c r="E107" s="113"/>
      <c r="F107" s="113"/>
    </row>
    <row r="108" spans="1:6" ht="14.25" customHeight="1">
      <c r="A108" s="113"/>
      <c r="B108" s="113"/>
      <c r="C108" s="113"/>
      <c r="D108" s="113"/>
      <c r="E108" s="113"/>
      <c r="F108" s="113"/>
    </row>
    <row r="109" spans="1:6" ht="11.25" customHeight="1">
      <c r="A109" s="113"/>
      <c r="B109" s="113"/>
      <c r="C109" s="113"/>
      <c r="D109" s="113"/>
      <c r="E109" s="113"/>
      <c r="F109" s="113"/>
    </row>
    <row r="110" spans="1:6" ht="12.75" customHeight="1">
      <c r="A110" s="113"/>
      <c r="B110" s="113"/>
      <c r="C110" s="113"/>
      <c r="D110" s="113"/>
      <c r="E110" s="113"/>
      <c r="F110" s="113"/>
    </row>
    <row r="111" spans="1:6" ht="13.5" customHeight="1">
      <c r="A111" s="113"/>
      <c r="B111" s="113"/>
      <c r="C111" s="113"/>
      <c r="D111" s="113"/>
      <c r="E111" s="113"/>
      <c r="F111" s="113"/>
    </row>
    <row r="112" spans="1:6" ht="12.75" customHeight="1">
      <c r="A112" s="113"/>
      <c r="B112" s="113"/>
      <c r="C112" s="113"/>
      <c r="D112" s="113"/>
      <c r="E112" s="113"/>
      <c r="F112" s="113"/>
    </row>
    <row r="113" spans="1:6" ht="18" customHeight="1">
      <c r="A113" s="707"/>
      <c r="B113" s="706"/>
      <c r="C113" s="706"/>
      <c r="D113" s="706"/>
      <c r="E113" s="706"/>
      <c r="F113" s="706"/>
    </row>
    <row r="114" spans="1:6" ht="14.25" customHeight="1">
      <c r="A114" s="113"/>
      <c r="B114" s="113"/>
      <c r="C114" s="113"/>
      <c r="D114" s="113"/>
      <c r="E114" s="113"/>
      <c r="F114" s="113"/>
    </row>
    <row r="115" spans="1:6" ht="14.25" customHeight="1">
      <c r="A115" s="113"/>
      <c r="B115" s="113"/>
      <c r="C115" s="113"/>
      <c r="D115" s="113"/>
      <c r="E115" s="113"/>
      <c r="F115" s="113"/>
    </row>
    <row r="116" spans="1:6" ht="15" customHeight="1">
      <c r="A116" s="37"/>
      <c r="B116" s="113"/>
      <c r="C116" s="113"/>
      <c r="D116" s="113"/>
      <c r="E116" s="113"/>
      <c r="F116" s="113"/>
    </row>
    <row r="117" spans="1:6" ht="13.5" customHeight="1">
      <c r="A117" s="113"/>
      <c r="B117" s="113"/>
      <c r="C117" s="113"/>
      <c r="D117" s="113"/>
      <c r="E117" s="113"/>
      <c r="F117" s="113"/>
    </row>
    <row r="118" spans="1:6" ht="15.75" customHeight="1">
      <c r="A118" s="113"/>
      <c r="B118" s="113"/>
      <c r="C118" s="113"/>
      <c r="D118" s="113"/>
      <c r="E118" s="113"/>
      <c r="F118" s="113"/>
    </row>
    <row r="119" spans="1:6" ht="15.75" customHeight="1">
      <c r="A119" s="113"/>
      <c r="B119" s="113"/>
      <c r="C119" s="113"/>
      <c r="D119" s="113"/>
      <c r="E119" s="113"/>
      <c r="F119" s="113"/>
    </row>
    <row r="120" spans="1:6" ht="15" customHeight="1">
      <c r="A120" s="113"/>
      <c r="B120" s="113"/>
      <c r="C120" s="113"/>
      <c r="D120" s="113"/>
      <c r="E120" s="113"/>
      <c r="F120" s="113"/>
    </row>
    <row r="121" spans="1:6" ht="24.75" customHeight="1">
      <c r="A121" s="708"/>
      <c r="B121" s="708"/>
      <c r="C121" s="708"/>
      <c r="D121" s="708"/>
      <c r="E121" s="708"/>
      <c r="F121" s="708"/>
    </row>
    <row r="122" spans="1:6" ht="54.75" customHeight="1">
      <c r="A122" s="708"/>
      <c r="B122" s="708"/>
      <c r="C122" s="708"/>
      <c r="D122" s="708"/>
      <c r="E122" s="708"/>
      <c r="F122" s="708"/>
    </row>
    <row r="123" spans="1:6" ht="18" customHeight="1" hidden="1">
      <c r="A123" s="113"/>
      <c r="B123" s="113"/>
      <c r="C123" s="113"/>
      <c r="D123" s="113"/>
      <c r="E123" s="113"/>
      <c r="F123" s="113"/>
    </row>
    <row r="124" spans="1:6" ht="15.75" customHeight="1" hidden="1">
      <c r="A124" s="113"/>
      <c r="B124" s="113"/>
      <c r="C124" s="113"/>
      <c r="D124" s="113"/>
      <c r="E124" s="113"/>
      <c r="F124" s="113"/>
    </row>
    <row r="125" spans="1:6" ht="12.75">
      <c r="A125" s="113"/>
      <c r="B125" s="113"/>
      <c r="C125" s="113"/>
      <c r="D125" s="113"/>
      <c r="E125" s="113"/>
      <c r="F125" s="113"/>
    </row>
    <row r="126" spans="1:6" ht="47.25" customHeight="1">
      <c r="A126" s="710"/>
      <c r="B126" s="710"/>
      <c r="C126" s="710"/>
      <c r="D126" s="710"/>
      <c r="E126" s="710"/>
      <c r="F126" s="710"/>
    </row>
    <row r="127" spans="1:6" ht="26.25" customHeight="1">
      <c r="A127" s="708"/>
      <c r="B127" s="708"/>
      <c r="C127" s="708"/>
      <c r="D127" s="708"/>
      <c r="E127" s="708"/>
      <c r="F127" s="708"/>
    </row>
    <row r="128" spans="1:6" ht="16.5" customHeight="1">
      <c r="A128" s="37"/>
      <c r="B128" s="113"/>
      <c r="C128" s="113"/>
      <c r="D128" s="113"/>
      <c r="E128" s="113"/>
      <c r="F128" s="113"/>
    </row>
    <row r="129" spans="1:6" ht="15" customHeight="1">
      <c r="A129" s="708"/>
      <c r="B129" s="708"/>
      <c r="C129" s="708"/>
      <c r="D129" s="708"/>
      <c r="E129" s="708"/>
      <c r="F129" s="708"/>
    </row>
    <row r="130" spans="1:6" ht="37.5" customHeight="1">
      <c r="A130" s="708"/>
      <c r="B130" s="708"/>
      <c r="C130" s="708"/>
      <c r="D130" s="708"/>
      <c r="E130" s="708"/>
      <c r="F130" s="708"/>
    </row>
    <row r="131" spans="1:6" ht="27.75" customHeight="1">
      <c r="A131" s="708"/>
      <c r="B131" s="708"/>
      <c r="C131" s="708"/>
      <c r="D131" s="708"/>
      <c r="E131" s="708"/>
      <c r="F131" s="708"/>
    </row>
    <row r="132" spans="1:6" ht="27.75" customHeight="1">
      <c r="A132" s="708"/>
      <c r="B132" s="708"/>
      <c r="C132" s="708"/>
      <c r="D132" s="708"/>
      <c r="E132" s="708"/>
      <c r="F132" s="708"/>
    </row>
    <row r="133" spans="1:6" ht="12.75">
      <c r="A133" s="707"/>
      <c r="B133" s="706"/>
      <c r="C133" s="706"/>
      <c r="D133" s="706"/>
      <c r="E133" s="706"/>
      <c r="F133" s="706"/>
    </row>
    <row r="134" spans="1:6" ht="12.75">
      <c r="A134" s="113"/>
      <c r="B134" s="113"/>
      <c r="C134" s="113"/>
      <c r="D134" s="113"/>
      <c r="E134" s="113"/>
      <c r="F134" s="113"/>
    </row>
    <row r="135" spans="1:6" ht="12.75">
      <c r="A135" s="113"/>
      <c r="B135" s="113"/>
      <c r="C135" s="113"/>
      <c r="D135" s="113"/>
      <c r="E135" s="113"/>
      <c r="F135" s="113"/>
    </row>
    <row r="136" spans="1:6" ht="12.75">
      <c r="A136" s="113"/>
      <c r="B136" s="113"/>
      <c r="C136" s="113"/>
      <c r="D136" s="113"/>
      <c r="E136" s="113"/>
      <c r="F136" s="113"/>
    </row>
    <row r="137" spans="1:6" ht="12.75">
      <c r="A137" s="113"/>
      <c r="B137" s="113"/>
      <c r="C137" s="113"/>
      <c r="D137" s="113"/>
      <c r="E137" s="113"/>
      <c r="F137" s="113"/>
    </row>
    <row r="138" spans="1:6" ht="29.25" customHeight="1">
      <c r="A138" s="113"/>
      <c r="B138" s="113"/>
      <c r="C138" s="113"/>
      <c r="D138" s="709"/>
      <c r="E138" s="709"/>
      <c r="F138" s="709"/>
    </row>
  </sheetData>
  <mergeCells count="18">
    <mergeCell ref="D138:F138"/>
    <mergeCell ref="A133:F133"/>
    <mergeCell ref="A129:F129"/>
    <mergeCell ref="A126:F126"/>
    <mergeCell ref="A127:F127"/>
    <mergeCell ref="A131:F131"/>
    <mergeCell ref="A132:F132"/>
    <mergeCell ref="A130:F130"/>
    <mergeCell ref="A105:F105"/>
    <mergeCell ref="A113:F113"/>
    <mergeCell ref="A122:F122"/>
    <mergeCell ref="A121:F121"/>
    <mergeCell ref="D3:D4"/>
    <mergeCell ref="E3:E4"/>
    <mergeCell ref="F3:F4"/>
    <mergeCell ref="C1:F1"/>
    <mergeCell ref="A2:F2"/>
    <mergeCell ref="A3:C3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1">
      <selection activeCell="D19" sqref="D19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32.625" style="0" customWidth="1"/>
    <col min="4" max="4" width="11.25390625" style="0" customWidth="1"/>
    <col min="5" max="5" width="11.00390625" style="0" customWidth="1"/>
    <col min="6" max="6" width="10.75390625" style="0" customWidth="1"/>
    <col min="7" max="7" width="10.125" style="0" hidden="1" customWidth="1"/>
    <col min="8" max="8" width="9.375" style="0" customWidth="1"/>
    <col min="9" max="9" width="10.125" style="0" customWidth="1"/>
    <col min="10" max="10" width="11.00390625" style="0" customWidth="1"/>
    <col min="11" max="11" width="11.375" style="0" customWidth="1"/>
    <col min="12" max="12" width="10.625" style="0" customWidth="1"/>
    <col min="13" max="13" width="16.25390625" style="0" customWidth="1"/>
  </cols>
  <sheetData>
    <row r="2" spans="4:13" ht="17.25" customHeight="1">
      <c r="D2" s="110"/>
      <c r="H2" s="629" t="s">
        <v>180</v>
      </c>
      <c r="I2" s="629"/>
      <c r="J2" s="629"/>
      <c r="K2" s="629"/>
      <c r="L2" s="629"/>
      <c r="M2" s="629"/>
    </row>
    <row r="3" spans="1:13" ht="27" customHeight="1">
      <c r="A3" s="736" t="s">
        <v>179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</row>
    <row r="4" spans="1:13" ht="24.75" customHeight="1">
      <c r="A4" s="729" t="s">
        <v>810</v>
      </c>
      <c r="B4" s="729" t="s">
        <v>811</v>
      </c>
      <c r="C4" s="728" t="s">
        <v>64</v>
      </c>
      <c r="D4" s="728" t="s">
        <v>870</v>
      </c>
      <c r="E4" s="737" t="s">
        <v>65</v>
      </c>
      <c r="F4" s="737"/>
      <c r="G4" s="737"/>
      <c r="H4" s="737"/>
      <c r="I4" s="737"/>
      <c r="J4" s="737"/>
      <c r="K4" s="737"/>
      <c r="L4" s="737"/>
      <c r="M4" s="735" t="s">
        <v>66</v>
      </c>
    </row>
    <row r="5" spans="1:13" ht="12.75" customHeight="1">
      <c r="A5" s="729"/>
      <c r="B5" s="729"/>
      <c r="C5" s="728"/>
      <c r="D5" s="728"/>
      <c r="E5" s="730" t="s">
        <v>181</v>
      </c>
      <c r="F5" s="737" t="s">
        <v>67</v>
      </c>
      <c r="G5" s="737"/>
      <c r="H5" s="737"/>
      <c r="I5" s="737"/>
      <c r="J5" s="246"/>
      <c r="K5" s="729" t="s">
        <v>433</v>
      </c>
      <c r="L5" s="729" t="s">
        <v>183</v>
      </c>
      <c r="M5" s="735"/>
    </row>
    <row r="6" spans="1:13" ht="58.5" customHeight="1">
      <c r="A6" s="729"/>
      <c r="B6" s="729"/>
      <c r="C6" s="728"/>
      <c r="D6" s="728"/>
      <c r="E6" s="731"/>
      <c r="F6" s="244" t="s">
        <v>68</v>
      </c>
      <c r="G6" s="244" t="s">
        <v>69</v>
      </c>
      <c r="H6" s="244" t="s">
        <v>670</v>
      </c>
      <c r="I6" s="244" t="s">
        <v>182</v>
      </c>
      <c r="J6" s="244" t="s">
        <v>192</v>
      </c>
      <c r="K6" s="729"/>
      <c r="L6" s="729"/>
      <c r="M6" s="735"/>
    </row>
    <row r="7" spans="1:13" ht="12.75">
      <c r="A7" s="239">
        <v>1</v>
      </c>
      <c r="B7" s="239">
        <v>2</v>
      </c>
      <c r="C7" s="239">
        <v>4</v>
      </c>
      <c r="D7" s="239">
        <v>5</v>
      </c>
      <c r="E7" s="239">
        <v>6</v>
      </c>
      <c r="F7" s="239">
        <v>7</v>
      </c>
      <c r="G7" s="239">
        <v>8</v>
      </c>
      <c r="H7" s="239">
        <v>9</v>
      </c>
      <c r="I7" s="239">
        <v>10</v>
      </c>
      <c r="J7" s="239">
        <v>11</v>
      </c>
      <c r="K7" s="239">
        <v>12</v>
      </c>
      <c r="L7" s="240">
        <v>13</v>
      </c>
      <c r="M7" s="239">
        <v>14</v>
      </c>
    </row>
    <row r="8" spans="1:13" ht="47.25" customHeight="1" hidden="1">
      <c r="A8" s="261">
        <v>600</v>
      </c>
      <c r="B8" s="261">
        <v>60014</v>
      </c>
      <c r="C8" s="254" t="s">
        <v>70</v>
      </c>
      <c r="D8" s="112">
        <f aca="true" t="shared" si="0" ref="D8:D18">E8+K8+L8</f>
        <v>0</v>
      </c>
      <c r="E8" s="112">
        <f>F8+G8+I8+H8</f>
        <v>0</v>
      </c>
      <c r="F8" s="112"/>
      <c r="G8" s="112"/>
      <c r="H8" s="112"/>
      <c r="I8" s="112"/>
      <c r="J8" s="112"/>
      <c r="K8" s="112"/>
      <c r="L8" s="112"/>
      <c r="M8" s="262" t="s">
        <v>62</v>
      </c>
    </row>
    <row r="9" spans="1:13" ht="46.5" customHeight="1">
      <c r="A9" s="557">
        <v>600</v>
      </c>
      <c r="B9" s="557">
        <v>60014</v>
      </c>
      <c r="C9" s="254" t="s">
        <v>669</v>
      </c>
      <c r="D9" s="558">
        <f t="shared" si="0"/>
        <v>734628</v>
      </c>
      <c r="E9" s="558">
        <f aca="true" t="shared" si="1" ref="E9:E18">F9+G9+I9+H9+J9</f>
        <v>734628</v>
      </c>
      <c r="F9" s="558">
        <v>50000</v>
      </c>
      <c r="G9" s="558">
        <v>0</v>
      </c>
      <c r="H9" s="558">
        <v>88500</v>
      </c>
      <c r="I9" s="558">
        <v>75157</v>
      </c>
      <c r="J9" s="558">
        <v>520971</v>
      </c>
      <c r="K9" s="558">
        <v>0</v>
      </c>
      <c r="L9" s="558">
        <v>0</v>
      </c>
      <c r="M9" s="254" t="s">
        <v>62</v>
      </c>
    </row>
    <row r="10" spans="1:13" ht="43.5" customHeight="1">
      <c r="A10" s="557">
        <v>600</v>
      </c>
      <c r="B10" s="557">
        <v>60014</v>
      </c>
      <c r="C10" s="254" t="s">
        <v>671</v>
      </c>
      <c r="D10" s="558">
        <f t="shared" si="0"/>
        <v>4210301</v>
      </c>
      <c r="E10" s="558">
        <f t="shared" si="1"/>
        <v>1956046</v>
      </c>
      <c r="F10" s="558">
        <v>20000</v>
      </c>
      <c r="G10" s="558">
        <v>0</v>
      </c>
      <c r="H10" s="558">
        <v>294500</v>
      </c>
      <c r="I10" s="558">
        <v>174512</v>
      </c>
      <c r="J10" s="558">
        <v>1467034</v>
      </c>
      <c r="K10" s="558">
        <v>2254255</v>
      </c>
      <c r="L10" s="558">
        <v>0</v>
      </c>
      <c r="M10" s="254" t="s">
        <v>62</v>
      </c>
    </row>
    <row r="11" spans="1:13" ht="25.5" customHeight="1">
      <c r="A11" s="557">
        <v>600</v>
      </c>
      <c r="B11" s="557">
        <v>60014</v>
      </c>
      <c r="C11" s="254" t="s">
        <v>187</v>
      </c>
      <c r="D11" s="558">
        <f t="shared" si="0"/>
        <v>186000</v>
      </c>
      <c r="E11" s="558">
        <f t="shared" si="1"/>
        <v>186000</v>
      </c>
      <c r="F11" s="558">
        <v>186000</v>
      </c>
      <c r="G11" s="558"/>
      <c r="H11" s="558">
        <v>0</v>
      </c>
      <c r="I11" s="558">
        <v>0</v>
      </c>
      <c r="J11" s="558">
        <v>0</v>
      </c>
      <c r="K11" s="558">
        <v>0</v>
      </c>
      <c r="L11" s="558">
        <v>0</v>
      </c>
      <c r="M11" s="559" t="s">
        <v>71</v>
      </c>
    </row>
    <row r="12" spans="1:13" ht="22.5" customHeight="1">
      <c r="A12" s="557">
        <v>600</v>
      </c>
      <c r="B12" s="557">
        <v>60014</v>
      </c>
      <c r="C12" s="254" t="s">
        <v>193</v>
      </c>
      <c r="D12" s="558">
        <f t="shared" si="0"/>
        <v>10000</v>
      </c>
      <c r="E12" s="558">
        <f t="shared" si="1"/>
        <v>10000</v>
      </c>
      <c r="F12" s="558">
        <v>10000</v>
      </c>
      <c r="G12" s="558"/>
      <c r="H12" s="558"/>
      <c r="I12" s="558"/>
      <c r="J12" s="558"/>
      <c r="K12" s="558"/>
      <c r="L12" s="558"/>
      <c r="M12" s="254" t="s">
        <v>62</v>
      </c>
    </row>
    <row r="13" spans="1:14" ht="23.25" customHeight="1">
      <c r="A13" s="250">
        <v>851</v>
      </c>
      <c r="B13" s="250">
        <v>85111</v>
      </c>
      <c r="C13" s="275" t="s">
        <v>194</v>
      </c>
      <c r="D13" s="560">
        <f t="shared" si="0"/>
        <v>11530140</v>
      </c>
      <c r="E13" s="558">
        <f t="shared" si="1"/>
        <v>3490000</v>
      </c>
      <c r="F13" s="560">
        <v>523500</v>
      </c>
      <c r="G13" s="560">
        <v>0</v>
      </c>
      <c r="H13" s="560">
        <v>0</v>
      </c>
      <c r="I13" s="560">
        <v>349000</v>
      </c>
      <c r="J13" s="560">
        <v>2617500</v>
      </c>
      <c r="K13" s="560">
        <v>4020140</v>
      </c>
      <c r="L13" s="560">
        <v>4020000</v>
      </c>
      <c r="M13" s="559" t="s">
        <v>71</v>
      </c>
      <c r="N13" s="229"/>
    </row>
    <row r="14" spans="1:14" ht="25.5" customHeight="1">
      <c r="A14" s="250">
        <v>851</v>
      </c>
      <c r="B14" s="250">
        <v>85111</v>
      </c>
      <c r="C14" s="275" t="s">
        <v>185</v>
      </c>
      <c r="D14" s="560">
        <f t="shared" si="0"/>
        <v>49676</v>
      </c>
      <c r="E14" s="558">
        <f t="shared" si="1"/>
        <v>49676</v>
      </c>
      <c r="F14" s="560">
        <v>49676</v>
      </c>
      <c r="G14" s="560"/>
      <c r="H14" s="560">
        <v>0</v>
      </c>
      <c r="I14" s="560">
        <v>0</v>
      </c>
      <c r="J14" s="560">
        <v>0</v>
      </c>
      <c r="K14" s="560">
        <v>0</v>
      </c>
      <c r="L14" s="560">
        <v>0</v>
      </c>
      <c r="M14" s="559" t="s">
        <v>71</v>
      </c>
      <c r="N14" s="229"/>
    </row>
    <row r="15" spans="1:14" ht="21.75" customHeight="1">
      <c r="A15" s="250">
        <v>852</v>
      </c>
      <c r="B15" s="250">
        <v>85202</v>
      </c>
      <c r="C15" s="275" t="s">
        <v>188</v>
      </c>
      <c r="D15" s="560">
        <f t="shared" si="0"/>
        <v>110000</v>
      </c>
      <c r="E15" s="560">
        <f t="shared" si="1"/>
        <v>110000</v>
      </c>
      <c r="F15" s="560">
        <v>55000</v>
      </c>
      <c r="G15" s="560"/>
      <c r="H15" s="560">
        <v>0</v>
      </c>
      <c r="I15" s="560">
        <v>55000</v>
      </c>
      <c r="J15" s="560">
        <v>0</v>
      </c>
      <c r="K15" s="560">
        <v>0</v>
      </c>
      <c r="L15" s="560">
        <v>0</v>
      </c>
      <c r="M15" s="559" t="s">
        <v>196</v>
      </c>
      <c r="N15" s="229"/>
    </row>
    <row r="16" spans="1:14" ht="24" customHeight="1">
      <c r="A16" s="250">
        <v>853</v>
      </c>
      <c r="B16" s="250">
        <v>85333</v>
      </c>
      <c r="C16" s="275" t="s">
        <v>190</v>
      </c>
      <c r="D16" s="560">
        <f t="shared" si="0"/>
        <v>15000</v>
      </c>
      <c r="E16" s="558">
        <f t="shared" si="1"/>
        <v>15000</v>
      </c>
      <c r="F16" s="560">
        <v>15000</v>
      </c>
      <c r="G16" s="560"/>
      <c r="H16" s="560">
        <v>0</v>
      </c>
      <c r="I16" s="560">
        <v>0</v>
      </c>
      <c r="J16" s="560">
        <v>0</v>
      </c>
      <c r="K16" s="560">
        <v>0</v>
      </c>
      <c r="L16" s="560">
        <v>0</v>
      </c>
      <c r="M16" s="559" t="s">
        <v>189</v>
      </c>
      <c r="N16" s="229"/>
    </row>
    <row r="17" spans="1:14" ht="34.5" customHeight="1">
      <c r="A17" s="250">
        <v>854</v>
      </c>
      <c r="B17" s="250">
        <v>85410</v>
      </c>
      <c r="C17" s="275" t="s">
        <v>186</v>
      </c>
      <c r="D17" s="560">
        <f t="shared" si="0"/>
        <v>611400</v>
      </c>
      <c r="E17" s="558">
        <f t="shared" si="1"/>
        <v>611400</v>
      </c>
      <c r="F17" s="560">
        <v>161400</v>
      </c>
      <c r="G17" s="560"/>
      <c r="H17" s="560">
        <v>0</v>
      </c>
      <c r="I17" s="560">
        <v>0</v>
      </c>
      <c r="J17" s="560">
        <v>450000</v>
      </c>
      <c r="K17" s="560">
        <v>0</v>
      </c>
      <c r="L17" s="560">
        <v>0</v>
      </c>
      <c r="M17" s="559" t="s">
        <v>184</v>
      </c>
      <c r="N17" s="229"/>
    </row>
    <row r="18" spans="1:14" ht="24" customHeight="1">
      <c r="A18" s="250">
        <v>921</v>
      </c>
      <c r="B18" s="250">
        <v>92116</v>
      </c>
      <c r="C18" s="275" t="s">
        <v>191</v>
      </c>
      <c r="D18" s="560">
        <f t="shared" si="0"/>
        <v>65000</v>
      </c>
      <c r="E18" s="560">
        <f t="shared" si="1"/>
        <v>65000</v>
      </c>
      <c r="F18" s="560">
        <v>0</v>
      </c>
      <c r="G18" s="560"/>
      <c r="H18" s="560">
        <v>0</v>
      </c>
      <c r="I18" s="560">
        <v>65000</v>
      </c>
      <c r="J18" s="560">
        <v>0</v>
      </c>
      <c r="K18" s="560">
        <v>0</v>
      </c>
      <c r="L18" s="560"/>
      <c r="M18" s="559" t="s">
        <v>71</v>
      </c>
      <c r="N18" s="229"/>
    </row>
    <row r="19" spans="1:13" ht="26.25" customHeight="1">
      <c r="A19" s="732" t="s">
        <v>72</v>
      </c>
      <c r="B19" s="733"/>
      <c r="C19" s="734"/>
      <c r="D19" s="561">
        <f>D9+D10+D11+D12+D13+D14+D15+D16+D17+D18</f>
        <v>17522145</v>
      </c>
      <c r="E19" s="561">
        <f aca="true" t="shared" si="2" ref="E19:L19">E9+E10+E11+E12+E13+E14+E15+E16+E17+E18</f>
        <v>7227750</v>
      </c>
      <c r="F19" s="561">
        <f t="shared" si="2"/>
        <v>1070576</v>
      </c>
      <c r="G19" s="561">
        <f t="shared" si="2"/>
        <v>0</v>
      </c>
      <c r="H19" s="561">
        <f t="shared" si="2"/>
        <v>383000</v>
      </c>
      <c r="I19" s="561">
        <f t="shared" si="2"/>
        <v>718669</v>
      </c>
      <c r="J19" s="561">
        <f t="shared" si="2"/>
        <v>5055505</v>
      </c>
      <c r="K19" s="561">
        <f t="shared" si="2"/>
        <v>6274395</v>
      </c>
      <c r="L19" s="561">
        <f t="shared" si="2"/>
        <v>4020000</v>
      </c>
      <c r="M19" s="561"/>
    </row>
    <row r="20" spans="1:10" ht="16.5" customHeight="1">
      <c r="A20" s="242" t="s">
        <v>434</v>
      </c>
      <c r="B20" s="242"/>
      <c r="C20" s="242"/>
      <c r="D20" s="242"/>
      <c r="E20" s="242"/>
      <c r="F20" s="242"/>
      <c r="G20" s="242"/>
      <c r="H20" s="242"/>
      <c r="I20" s="242"/>
      <c r="J20" s="242"/>
    </row>
    <row r="21" spans="1:12" ht="12.75">
      <c r="A21" s="242" t="s">
        <v>672</v>
      </c>
      <c r="B21" s="242"/>
      <c r="C21" s="242"/>
      <c r="D21" s="242"/>
      <c r="E21" s="242"/>
      <c r="F21" s="242"/>
      <c r="G21" s="242"/>
      <c r="H21" s="242"/>
      <c r="I21" s="727" t="s">
        <v>431</v>
      </c>
      <c r="J21" s="727"/>
      <c r="K21" s="727"/>
      <c r="L21" s="727"/>
    </row>
    <row r="22" spans="1:12" ht="23.25" customHeight="1">
      <c r="A22" s="242" t="s">
        <v>330</v>
      </c>
      <c r="B22" s="242"/>
      <c r="C22" s="242"/>
      <c r="D22" s="242"/>
      <c r="E22" s="242"/>
      <c r="F22" s="242"/>
      <c r="G22" s="242"/>
      <c r="H22" s="242"/>
      <c r="I22" s="727" t="s">
        <v>195</v>
      </c>
      <c r="J22" s="727"/>
      <c r="K22" s="727"/>
      <c r="L22" s="727"/>
    </row>
    <row r="23" spans="1:10" ht="12.75" hidden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</row>
    <row r="24" spans="1:10" ht="12.75">
      <c r="A24" s="242"/>
      <c r="B24" s="242"/>
      <c r="C24" s="242"/>
      <c r="D24" s="242"/>
      <c r="E24" s="242"/>
      <c r="F24" s="242"/>
      <c r="G24" s="242"/>
      <c r="H24" s="242"/>
      <c r="I24" s="242"/>
      <c r="J24" s="242"/>
    </row>
    <row r="25" spans="1:10" ht="12.75">
      <c r="A25" s="242"/>
      <c r="B25" s="242"/>
      <c r="C25" s="242"/>
      <c r="D25" s="242"/>
      <c r="E25" s="242"/>
      <c r="F25" s="242"/>
      <c r="G25" s="242"/>
      <c r="H25" s="242"/>
      <c r="I25" s="242"/>
      <c r="J25" s="242"/>
    </row>
    <row r="26" spans="1:10" ht="12.75">
      <c r="A26" s="242"/>
      <c r="B26" s="242"/>
      <c r="C26" s="242"/>
      <c r="D26" s="242"/>
      <c r="E26" s="242"/>
      <c r="F26" s="242"/>
      <c r="G26" s="242"/>
      <c r="H26" s="242"/>
      <c r="I26" s="242"/>
      <c r="J26" s="242"/>
    </row>
    <row r="27" ht="12" customHeight="1"/>
    <row r="28" ht="12.75" hidden="1"/>
    <row r="29" ht="18" customHeight="1"/>
  </sheetData>
  <mergeCells count="15">
    <mergeCell ref="H2:M2"/>
    <mergeCell ref="A19:C19"/>
    <mergeCell ref="L5:L6"/>
    <mergeCell ref="M4:M6"/>
    <mergeCell ref="A3:M3"/>
    <mergeCell ref="A4:A6"/>
    <mergeCell ref="B4:B6"/>
    <mergeCell ref="F5:I5"/>
    <mergeCell ref="E4:L4"/>
    <mergeCell ref="I21:L21"/>
    <mergeCell ref="I22:L22"/>
    <mergeCell ref="D4:D6"/>
    <mergeCell ref="C4:C6"/>
    <mergeCell ref="K5:K6"/>
    <mergeCell ref="E5:E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E16" sqref="E16:F16"/>
    </sheetView>
  </sheetViews>
  <sheetFormatPr defaultColWidth="9.00390625" defaultRowHeight="12.75"/>
  <cols>
    <col min="1" max="1" width="5.625" style="0" customWidth="1"/>
    <col min="4" max="4" width="26.125" style="0" customWidth="1"/>
    <col min="6" max="6" width="13.625" style="0" customWidth="1"/>
    <col min="7" max="7" width="9.75390625" style="0" customWidth="1"/>
    <col min="8" max="8" width="15.00390625" style="0" customWidth="1"/>
  </cols>
  <sheetData>
    <row r="1" spans="7:8" ht="65.25" customHeight="1">
      <c r="G1" s="793" t="s">
        <v>26</v>
      </c>
      <c r="H1" s="793"/>
    </row>
    <row r="3" ht="12" customHeight="1"/>
    <row r="4" spans="3:15" s="794" customFormat="1" ht="15" customHeight="1">
      <c r="C4" s="795" t="s">
        <v>27</v>
      </c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</row>
    <row r="5" ht="23.25" customHeight="1" thickBot="1">
      <c r="H5" s="242" t="s">
        <v>28</v>
      </c>
    </row>
    <row r="6" spans="1:8" s="113" customFormat="1" ht="36.75" customHeight="1" thickBot="1">
      <c r="A6" s="14" t="s">
        <v>29</v>
      </c>
      <c r="B6" s="14" t="s">
        <v>810</v>
      </c>
      <c r="C6" s="585" t="s">
        <v>811</v>
      </c>
      <c r="D6" s="586" t="s">
        <v>30</v>
      </c>
      <c r="E6" s="796" t="s">
        <v>31</v>
      </c>
      <c r="F6" s="796"/>
      <c r="G6" s="700" t="s">
        <v>32</v>
      </c>
      <c r="H6" s="700"/>
    </row>
    <row r="7" spans="1:8" s="802" customFormat="1" ht="9.75">
      <c r="A7" s="797">
        <v>1</v>
      </c>
      <c r="B7" s="798">
        <v>2</v>
      </c>
      <c r="C7" s="799">
        <v>3</v>
      </c>
      <c r="D7" s="800">
        <v>4</v>
      </c>
      <c r="E7" s="801">
        <v>5</v>
      </c>
      <c r="F7" s="801"/>
      <c r="G7" s="801">
        <v>6</v>
      </c>
      <c r="H7" s="801"/>
    </row>
    <row r="8" spans="1:8" ht="57" customHeight="1">
      <c r="A8" s="803" t="s">
        <v>903</v>
      </c>
      <c r="B8" s="99">
        <v>750</v>
      </c>
      <c r="C8" s="803">
        <v>75020</v>
      </c>
      <c r="D8" s="804" t="s">
        <v>33</v>
      </c>
      <c r="E8" s="805">
        <v>0</v>
      </c>
      <c r="F8" s="806"/>
      <c r="G8" s="805" t="s">
        <v>34</v>
      </c>
      <c r="H8" s="806"/>
    </row>
    <row r="9" spans="1:8" ht="18.75" customHeight="1">
      <c r="A9" s="102"/>
      <c r="B9" s="512"/>
      <c r="C9" s="102"/>
      <c r="D9" s="512"/>
      <c r="E9" s="807"/>
      <c r="F9" s="807"/>
      <c r="G9" s="807"/>
      <c r="H9" s="807"/>
    </row>
    <row r="10" spans="1:8" ht="20.25" customHeight="1">
      <c r="A10" s="102"/>
      <c r="B10" s="512"/>
      <c r="C10" s="102"/>
      <c r="D10" s="512"/>
      <c r="E10" s="807"/>
      <c r="F10" s="807"/>
      <c r="G10" s="807"/>
      <c r="H10" s="807"/>
    </row>
    <row r="11" spans="1:8" ht="21" customHeight="1">
      <c r="A11" s="102"/>
      <c r="B11" s="512"/>
      <c r="C11" s="102"/>
      <c r="D11" s="512"/>
      <c r="E11" s="807"/>
      <c r="F11" s="807"/>
      <c r="G11" s="807"/>
      <c r="H11" s="807"/>
    </row>
    <row r="12" spans="1:8" ht="18" customHeight="1">
      <c r="A12" s="102"/>
      <c r="B12" s="512"/>
      <c r="C12" s="102"/>
      <c r="D12" s="512"/>
      <c r="E12" s="807"/>
      <c r="F12" s="807"/>
      <c r="G12" s="807"/>
      <c r="H12" s="807"/>
    </row>
    <row r="13" spans="1:8" ht="19.5" customHeight="1">
      <c r="A13" s="102"/>
      <c r="B13" s="512"/>
      <c r="C13" s="102"/>
      <c r="D13" s="512"/>
      <c r="E13" s="807"/>
      <c r="F13" s="807"/>
      <c r="G13" s="807"/>
      <c r="H13" s="807"/>
    </row>
    <row r="14" spans="1:8" ht="21.75" customHeight="1">
      <c r="A14" s="102"/>
      <c r="B14" s="512"/>
      <c r="C14" s="102"/>
      <c r="D14" s="512"/>
      <c r="E14" s="807"/>
      <c r="F14" s="807"/>
      <c r="G14" s="807"/>
      <c r="H14" s="807"/>
    </row>
    <row r="15" spans="1:8" ht="21" customHeight="1" thickBot="1">
      <c r="A15" s="808"/>
      <c r="B15" s="511"/>
      <c r="C15" s="808"/>
      <c r="D15" s="511"/>
      <c r="E15" s="809"/>
      <c r="F15" s="809"/>
      <c r="G15" s="809"/>
      <c r="H15" s="809"/>
    </row>
    <row r="16" spans="1:8" ht="22.5" customHeight="1" thickBot="1">
      <c r="A16" s="810" t="s">
        <v>72</v>
      </c>
      <c r="B16" s="810"/>
      <c r="C16" s="810"/>
      <c r="D16" s="81"/>
      <c r="E16" s="811">
        <f>E8</f>
        <v>0</v>
      </c>
      <c r="F16" s="812"/>
      <c r="G16" s="811" t="str">
        <f>G8</f>
        <v>42.000</v>
      </c>
      <c r="H16" s="812"/>
    </row>
    <row r="17" ht="12.75" hidden="1"/>
    <row r="19" spans="6:8" ht="12.75">
      <c r="F19" s="738" t="s">
        <v>431</v>
      </c>
      <c r="G19" s="738"/>
      <c r="H19" s="738"/>
    </row>
    <row r="20" spans="6:8" ht="24" customHeight="1">
      <c r="F20" s="738" t="s">
        <v>195</v>
      </c>
      <c r="G20" s="738"/>
      <c r="H20" s="738"/>
    </row>
  </sheetData>
  <mergeCells count="27">
    <mergeCell ref="F20:H20"/>
    <mergeCell ref="G1:H1"/>
    <mergeCell ref="G8:H8"/>
    <mergeCell ref="E8:F8"/>
    <mergeCell ref="G16:H16"/>
    <mergeCell ref="E16:F16"/>
    <mergeCell ref="G12:H12"/>
    <mergeCell ref="G13:H13"/>
    <mergeCell ref="G14:H14"/>
    <mergeCell ref="E12:F12"/>
    <mergeCell ref="E13:F13"/>
    <mergeCell ref="E14:F14"/>
    <mergeCell ref="F19:H19"/>
    <mergeCell ref="G9:H9"/>
    <mergeCell ref="G10:H10"/>
    <mergeCell ref="G11:H11"/>
    <mergeCell ref="E11:F11"/>
    <mergeCell ref="C4:O4"/>
    <mergeCell ref="E6:F6"/>
    <mergeCell ref="G6:H6"/>
    <mergeCell ref="A16:C16"/>
    <mergeCell ref="E7:F7"/>
    <mergeCell ref="E9:F9"/>
    <mergeCell ref="E10:F10"/>
    <mergeCell ref="G15:H15"/>
    <mergeCell ref="E15:F15"/>
    <mergeCell ref="G7:H7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65"/>
  <sheetViews>
    <sheetView workbookViewId="0" topLeftCell="A1">
      <selection activeCell="D20" sqref="D20"/>
    </sheetView>
  </sheetViews>
  <sheetFormatPr defaultColWidth="9.00390625" defaultRowHeight="12.75"/>
  <cols>
    <col min="1" max="1" width="5.75390625" style="8" customWidth="1"/>
    <col min="2" max="2" width="21.375" style="0" customWidth="1"/>
    <col min="3" max="3" width="10.875" style="0" customWidth="1"/>
    <col min="4" max="4" width="10.75390625" style="0" customWidth="1"/>
    <col min="8" max="8" width="10.1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ht="12.75">
      <c r="A1" s="41"/>
    </row>
    <row r="2" spans="1:16" ht="42.75" customHeight="1">
      <c r="A2" s="41"/>
      <c r="N2" s="571" t="s">
        <v>1015</v>
      </c>
      <c r="O2" s="571"/>
      <c r="P2" s="571"/>
    </row>
    <row r="3" ht="12.75">
      <c r="A3" s="41"/>
    </row>
    <row r="4" ht="15">
      <c r="A4" s="766" t="s">
        <v>1016</v>
      </c>
    </row>
    <row r="5" ht="12.75">
      <c r="A5" s="41"/>
    </row>
    <row r="6" ht="12.75">
      <c r="A6" s="41"/>
    </row>
    <row r="7" spans="1:16" ht="12.75" customHeight="1">
      <c r="A7" s="739" t="s">
        <v>891</v>
      </c>
      <c r="B7" s="574" t="s">
        <v>1017</v>
      </c>
      <c r="C7" s="574" t="s">
        <v>1018</v>
      </c>
      <c r="D7" s="574" t="s">
        <v>1019</v>
      </c>
      <c r="E7" s="752" t="s">
        <v>883</v>
      </c>
      <c r="F7" s="753"/>
      <c r="G7" s="752" t="s">
        <v>1020</v>
      </c>
      <c r="H7" s="767"/>
      <c r="I7" s="767"/>
      <c r="J7" s="767"/>
      <c r="K7" s="767"/>
      <c r="L7" s="767"/>
      <c r="M7" s="767"/>
      <c r="N7" s="767"/>
      <c r="O7" s="767"/>
      <c r="P7" s="753"/>
    </row>
    <row r="8" spans="1:16" ht="12.75" customHeight="1">
      <c r="A8" s="768"/>
      <c r="B8" s="769"/>
      <c r="C8" s="769"/>
      <c r="D8" s="769"/>
      <c r="E8" s="574" t="s">
        <v>1021</v>
      </c>
      <c r="F8" s="574" t="s">
        <v>1022</v>
      </c>
      <c r="G8" s="752" t="s">
        <v>1023</v>
      </c>
      <c r="H8" s="767"/>
      <c r="I8" s="767"/>
      <c r="J8" s="767"/>
      <c r="K8" s="767"/>
      <c r="L8" s="767"/>
      <c r="M8" s="767"/>
      <c r="N8" s="767"/>
      <c r="O8" s="767"/>
      <c r="P8" s="753"/>
    </row>
    <row r="9" spans="1:16" ht="12.75" customHeight="1">
      <c r="A9" s="768"/>
      <c r="B9" s="769"/>
      <c r="C9" s="769"/>
      <c r="D9" s="769"/>
      <c r="E9" s="769"/>
      <c r="F9" s="769"/>
      <c r="G9" s="574" t="s">
        <v>1024</v>
      </c>
      <c r="H9" s="770" t="s">
        <v>0</v>
      </c>
      <c r="I9" s="771"/>
      <c r="J9" s="771"/>
      <c r="K9" s="771"/>
      <c r="L9" s="771"/>
      <c r="M9" s="771"/>
      <c r="N9" s="771"/>
      <c r="O9" s="771"/>
      <c r="P9" s="772"/>
    </row>
    <row r="10" spans="1:16" ht="12.75" customHeight="1">
      <c r="A10" s="768"/>
      <c r="B10" s="769"/>
      <c r="C10" s="769"/>
      <c r="D10" s="769"/>
      <c r="E10" s="769"/>
      <c r="F10" s="769"/>
      <c r="G10" s="769"/>
      <c r="H10" s="752" t="s">
        <v>1</v>
      </c>
      <c r="I10" s="767"/>
      <c r="J10" s="767"/>
      <c r="K10" s="753"/>
      <c r="L10" s="773" t="s">
        <v>1022</v>
      </c>
      <c r="M10" s="774"/>
      <c r="N10" s="774"/>
      <c r="O10" s="774"/>
      <c r="P10" s="775"/>
    </row>
    <row r="11" spans="1:16" ht="12.75" customHeight="1">
      <c r="A11" s="768"/>
      <c r="B11" s="769"/>
      <c r="C11" s="769"/>
      <c r="D11" s="769"/>
      <c r="E11" s="769"/>
      <c r="F11" s="769"/>
      <c r="G11" s="769"/>
      <c r="H11" s="574" t="s">
        <v>2</v>
      </c>
      <c r="I11" s="776" t="s">
        <v>3</v>
      </c>
      <c r="J11" s="777"/>
      <c r="K11" s="778"/>
      <c r="L11" s="574" t="s">
        <v>4</v>
      </c>
      <c r="M11" s="773" t="s">
        <v>3</v>
      </c>
      <c r="N11" s="774"/>
      <c r="O11" s="774"/>
      <c r="P11" s="775"/>
    </row>
    <row r="12" spans="1:16" ht="36" customHeight="1">
      <c r="A12" s="740"/>
      <c r="B12" s="566"/>
      <c r="C12" s="566"/>
      <c r="D12" s="566"/>
      <c r="E12" s="566"/>
      <c r="F12" s="566"/>
      <c r="G12" s="566"/>
      <c r="H12" s="566"/>
      <c r="I12" s="104" t="s">
        <v>5</v>
      </c>
      <c r="J12" s="104" t="s">
        <v>6</v>
      </c>
      <c r="K12" s="104" t="s">
        <v>7</v>
      </c>
      <c r="L12" s="566"/>
      <c r="M12" s="779" t="s">
        <v>8</v>
      </c>
      <c r="N12" s="779" t="s">
        <v>5</v>
      </c>
      <c r="O12" s="779" t="s">
        <v>6</v>
      </c>
      <c r="P12" s="779" t="s">
        <v>7</v>
      </c>
    </row>
    <row r="13" spans="1:16" s="780" customFormat="1" ht="12" customHeigh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</row>
    <row r="14" spans="1:16" s="41" customFormat="1" ht="13.5" customHeight="1">
      <c r="A14" s="781" t="s">
        <v>9</v>
      </c>
      <c r="B14" s="782" t="s">
        <v>10</v>
      </c>
      <c r="C14" s="782"/>
      <c r="D14" s="782"/>
      <c r="E14" s="782"/>
      <c r="F14" s="782"/>
      <c r="G14" s="782"/>
      <c r="H14" s="782"/>
      <c r="I14" s="782"/>
      <c r="J14" s="782"/>
      <c r="K14" s="782"/>
      <c r="L14" s="782"/>
      <c r="M14" s="782"/>
      <c r="N14" s="782"/>
      <c r="O14" s="782"/>
      <c r="P14" s="782"/>
    </row>
    <row r="15" spans="1:16" s="41" customFormat="1" ht="12.75">
      <c r="A15" s="783"/>
      <c r="B15" s="20" t="s">
        <v>11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s="41" customFormat="1" ht="12.75">
      <c r="A16" s="783"/>
      <c r="B16" s="20" t="s">
        <v>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s="41" customFormat="1" ht="12.75">
      <c r="A17" s="783"/>
      <c r="B17" s="20" t="s">
        <v>13</v>
      </c>
      <c r="C17" s="20" t="s">
        <v>14</v>
      </c>
      <c r="D17" s="20">
        <f aca="true" t="shared" si="0" ref="D17:P17">D18+D19</f>
        <v>1300847</v>
      </c>
      <c r="E17" s="20">
        <f t="shared" si="0"/>
        <v>346686</v>
      </c>
      <c r="F17" s="20">
        <f t="shared" si="0"/>
        <v>954161</v>
      </c>
      <c r="G17" s="20">
        <f t="shared" si="0"/>
        <v>734628</v>
      </c>
      <c r="H17" s="20">
        <f t="shared" si="0"/>
        <v>213657</v>
      </c>
      <c r="I17" s="20">
        <f t="shared" si="0"/>
        <v>88500</v>
      </c>
      <c r="J17" s="20">
        <f t="shared" si="0"/>
        <v>0</v>
      </c>
      <c r="K17" s="20">
        <f t="shared" si="0"/>
        <v>125157</v>
      </c>
      <c r="L17" s="20">
        <f t="shared" si="0"/>
        <v>520971</v>
      </c>
      <c r="M17" s="20">
        <f t="shared" si="0"/>
        <v>520971</v>
      </c>
      <c r="N17" s="20">
        <f t="shared" si="0"/>
        <v>0</v>
      </c>
      <c r="O17" s="20">
        <f t="shared" si="0"/>
        <v>0</v>
      </c>
      <c r="P17" s="20">
        <f t="shared" si="0"/>
        <v>0</v>
      </c>
    </row>
    <row r="18" spans="1:16" s="41" customFormat="1" ht="12.75">
      <c r="A18" s="783"/>
      <c r="B18" s="20" t="s">
        <v>15</v>
      </c>
      <c r="C18" s="20"/>
      <c r="D18" s="20">
        <f>E18+F18</f>
        <v>566219</v>
      </c>
      <c r="E18" s="20">
        <v>141554</v>
      </c>
      <c r="F18" s="20">
        <v>424665</v>
      </c>
      <c r="G18" s="20"/>
      <c r="H18" s="20"/>
      <c r="I18" s="62"/>
      <c r="J18" s="20"/>
      <c r="K18" s="20"/>
      <c r="L18" s="20"/>
      <c r="M18" s="20"/>
      <c r="N18" s="20"/>
      <c r="O18" s="20"/>
      <c r="P18" s="20"/>
    </row>
    <row r="19" spans="1:16" s="41" customFormat="1" ht="12.75">
      <c r="A19" s="783"/>
      <c r="B19" s="784" t="s">
        <v>16</v>
      </c>
      <c r="C19" s="785"/>
      <c r="D19" s="785">
        <f>E19+F19</f>
        <v>734628</v>
      </c>
      <c r="E19" s="785">
        <v>205132</v>
      </c>
      <c r="F19" s="785">
        <v>529496</v>
      </c>
      <c r="G19" s="785">
        <f>H19+L19</f>
        <v>734628</v>
      </c>
      <c r="H19" s="785">
        <f>I19+J19+K19</f>
        <v>213657</v>
      </c>
      <c r="I19" s="785">
        <v>88500</v>
      </c>
      <c r="J19" s="785"/>
      <c r="K19" s="785">
        <v>125157</v>
      </c>
      <c r="L19" s="785">
        <f>M19+N19+O19+P19</f>
        <v>520971</v>
      </c>
      <c r="M19" s="785">
        <v>520971</v>
      </c>
      <c r="N19" s="785">
        <v>0</v>
      </c>
      <c r="O19" s="785">
        <v>0</v>
      </c>
      <c r="P19" s="785">
        <v>0</v>
      </c>
    </row>
    <row r="20" spans="1:16" s="41" customFormat="1" ht="12.75">
      <c r="A20" s="783"/>
      <c r="B20" s="20" t="s">
        <v>17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s="41" customFormat="1" ht="12.75">
      <c r="A21" s="786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s="41" customFormat="1" ht="13.5" customHeight="1">
      <c r="A22" s="781" t="s">
        <v>19</v>
      </c>
      <c r="B22" s="782" t="s">
        <v>20</v>
      </c>
      <c r="C22" s="782"/>
      <c r="D22" s="782"/>
      <c r="E22" s="782"/>
      <c r="F22" s="782"/>
      <c r="G22" s="782"/>
      <c r="H22" s="782"/>
      <c r="I22" s="782"/>
      <c r="J22" s="782"/>
      <c r="K22" s="782"/>
      <c r="L22" s="782"/>
      <c r="M22" s="782"/>
      <c r="N22" s="782"/>
      <c r="O22" s="782"/>
      <c r="P22" s="782"/>
    </row>
    <row r="23" spans="1:16" s="41" customFormat="1" ht="12.75">
      <c r="A23" s="783"/>
      <c r="B23" s="20" t="s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s="41" customFormat="1" ht="12.75">
      <c r="A24" s="783"/>
      <c r="B24" s="20" t="s">
        <v>12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s="41" customFormat="1" ht="12.75">
      <c r="A25" s="783"/>
      <c r="B25" s="20" t="s">
        <v>13</v>
      </c>
      <c r="C25" s="20">
        <v>600.60014</v>
      </c>
      <c r="D25" s="20">
        <f aca="true" t="shared" si="1" ref="D25:P25">D26+D27+D28</f>
        <v>6141663</v>
      </c>
      <c r="E25" s="20">
        <f t="shared" si="1"/>
        <v>1548901</v>
      </c>
      <c r="F25" s="20">
        <f t="shared" si="1"/>
        <v>4592762</v>
      </c>
      <c r="G25" s="20">
        <f t="shared" si="1"/>
        <v>1956046</v>
      </c>
      <c r="H25" s="20">
        <f t="shared" si="1"/>
        <v>489012</v>
      </c>
      <c r="I25" s="20">
        <f t="shared" si="1"/>
        <v>294500</v>
      </c>
      <c r="J25" s="20">
        <f t="shared" si="1"/>
        <v>0</v>
      </c>
      <c r="K25" s="20">
        <f t="shared" si="1"/>
        <v>194512</v>
      </c>
      <c r="L25" s="20">
        <f t="shared" si="1"/>
        <v>1467034</v>
      </c>
      <c r="M25" s="20">
        <f t="shared" si="1"/>
        <v>1467034</v>
      </c>
      <c r="N25" s="20">
        <f t="shared" si="1"/>
        <v>0</v>
      </c>
      <c r="O25" s="20">
        <f t="shared" si="1"/>
        <v>0</v>
      </c>
      <c r="P25" s="20">
        <f t="shared" si="1"/>
        <v>0</v>
      </c>
    </row>
    <row r="26" spans="1:16" s="41" customFormat="1" ht="12.75">
      <c r="A26" s="783"/>
      <c r="B26" s="20" t="s">
        <v>15</v>
      </c>
      <c r="C26" s="20"/>
      <c r="D26" s="20">
        <f>E26+F26</f>
        <v>1949643</v>
      </c>
      <c r="E26" s="20">
        <v>487170</v>
      </c>
      <c r="F26" s="20">
        <v>1462473</v>
      </c>
      <c r="G26" s="20"/>
      <c r="H26" s="20"/>
      <c r="I26" s="62"/>
      <c r="J26" s="20"/>
      <c r="K26" s="20"/>
      <c r="L26" s="20"/>
      <c r="M26" s="20"/>
      <c r="N26" s="20"/>
      <c r="O26" s="20"/>
      <c r="P26" s="20"/>
    </row>
    <row r="27" spans="1:16" s="41" customFormat="1" ht="12.75">
      <c r="A27" s="783"/>
      <c r="B27" s="784" t="s">
        <v>16</v>
      </c>
      <c r="C27" s="785"/>
      <c r="D27" s="785">
        <f>E27+F27</f>
        <v>1956046</v>
      </c>
      <c r="E27" s="785">
        <v>489012</v>
      </c>
      <c r="F27" s="785">
        <v>1467034</v>
      </c>
      <c r="G27" s="785">
        <f>H27+L27</f>
        <v>1956046</v>
      </c>
      <c r="H27" s="785">
        <f>I27+J27+K27</f>
        <v>489012</v>
      </c>
      <c r="I27" s="785">
        <v>294500</v>
      </c>
      <c r="J27" s="785"/>
      <c r="K27" s="785">
        <v>194512</v>
      </c>
      <c r="L27" s="785">
        <f>M27+N27</f>
        <v>1467034</v>
      </c>
      <c r="M27" s="785">
        <v>1467034</v>
      </c>
      <c r="N27" s="785"/>
      <c r="O27" s="785"/>
      <c r="P27" s="785"/>
    </row>
    <row r="28" spans="1:16" s="41" customFormat="1" ht="12.75">
      <c r="A28" s="783"/>
      <c r="B28" s="20" t="s">
        <v>17</v>
      </c>
      <c r="C28" s="20"/>
      <c r="D28" s="20">
        <f>E28+F28</f>
        <v>2235974</v>
      </c>
      <c r="E28" s="20">
        <v>572719</v>
      </c>
      <c r="F28" s="20">
        <v>1663255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s="41" customFormat="1" ht="12.75">
      <c r="A29" s="786"/>
      <c r="B29" s="20" t="s">
        <v>18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7" s="41" customFormat="1" ht="13.5" customHeight="1">
      <c r="A30" s="781" t="s">
        <v>19</v>
      </c>
      <c r="B30" s="782" t="s">
        <v>22</v>
      </c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7"/>
    </row>
    <row r="31" spans="1:17" s="41" customFormat="1" ht="12.75">
      <c r="A31" s="783"/>
      <c r="B31" s="20" t="s">
        <v>21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787"/>
    </row>
    <row r="32" spans="1:16" s="41" customFormat="1" ht="12.75">
      <c r="A32" s="783"/>
      <c r="B32" s="20" t="s">
        <v>23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41" customFormat="1" ht="12.75">
      <c r="A33" s="783"/>
      <c r="B33" s="20" t="s">
        <v>13</v>
      </c>
      <c r="C33" s="20">
        <v>851.85111</v>
      </c>
      <c r="D33" s="20">
        <f>D34+D35+D36+D37</f>
        <v>11632000</v>
      </c>
      <c r="E33" s="20">
        <f>E34+E35+E36+E37</f>
        <v>2984395</v>
      </c>
      <c r="F33" s="20">
        <f>F34+F35+F36+F37</f>
        <v>8647605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s="41" customFormat="1" ht="12.75">
      <c r="A34" s="783"/>
      <c r="B34" s="20" t="s">
        <v>15</v>
      </c>
      <c r="C34" s="20"/>
      <c r="D34" s="20">
        <f>E34+F34</f>
        <v>101860</v>
      </c>
      <c r="E34" s="20">
        <v>101860</v>
      </c>
      <c r="F34" s="20">
        <v>0</v>
      </c>
      <c r="G34" s="20"/>
      <c r="H34" s="20"/>
      <c r="I34" s="62"/>
      <c r="J34" s="20"/>
      <c r="K34" s="20"/>
      <c r="L34" s="20"/>
      <c r="M34" s="20"/>
      <c r="N34" s="20"/>
      <c r="O34" s="20"/>
      <c r="P34" s="20"/>
    </row>
    <row r="35" spans="1:16" s="41" customFormat="1" ht="12.75">
      <c r="A35" s="783"/>
      <c r="B35" s="784" t="s">
        <v>16</v>
      </c>
      <c r="C35" s="785"/>
      <c r="D35" s="785">
        <f>E35+F35</f>
        <v>3490000</v>
      </c>
      <c r="E35" s="785">
        <v>872500</v>
      </c>
      <c r="F35" s="785">
        <v>2617500</v>
      </c>
      <c r="G35" s="785">
        <f>H35+L35</f>
        <v>3490000</v>
      </c>
      <c r="H35" s="785">
        <f>I35+J35+K35</f>
        <v>872500</v>
      </c>
      <c r="I35" s="785"/>
      <c r="J35" s="785"/>
      <c r="K35" s="785">
        <v>872500</v>
      </c>
      <c r="L35" s="785">
        <f>M35+N35+O35+P35</f>
        <v>2617500</v>
      </c>
      <c r="M35" s="785">
        <v>0</v>
      </c>
      <c r="N35" s="785"/>
      <c r="O35" s="785"/>
      <c r="P35" s="785">
        <v>2617500</v>
      </c>
    </row>
    <row r="36" spans="1:16" s="41" customFormat="1" ht="12.75">
      <c r="A36" s="783"/>
      <c r="B36" s="20" t="s">
        <v>17</v>
      </c>
      <c r="C36" s="20"/>
      <c r="D36" s="20">
        <f>E36+F36</f>
        <v>4020140</v>
      </c>
      <c r="E36" s="20">
        <v>1005035</v>
      </c>
      <c r="F36" s="20">
        <v>3015105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s="41" customFormat="1" ht="12.75">
      <c r="A37" s="786"/>
      <c r="B37" s="20" t="s">
        <v>18</v>
      </c>
      <c r="C37" s="20"/>
      <c r="D37" s="20">
        <f>E37+F37</f>
        <v>4020000</v>
      </c>
      <c r="E37" s="20">
        <v>1005000</v>
      </c>
      <c r="F37" s="20">
        <v>3015000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s="41" customFormat="1" ht="17.25" customHeight="1">
      <c r="A38" s="788"/>
      <c r="B38" s="788" t="s">
        <v>24</v>
      </c>
      <c r="C38" s="788"/>
      <c r="D38" s="789">
        <f aca="true" t="shared" si="2" ref="D38:P38">D19+D27+D35</f>
        <v>6180674</v>
      </c>
      <c r="E38" s="789">
        <f t="shared" si="2"/>
        <v>1566644</v>
      </c>
      <c r="F38" s="789">
        <f t="shared" si="2"/>
        <v>4614030</v>
      </c>
      <c r="G38" s="789">
        <f t="shared" si="2"/>
        <v>6180674</v>
      </c>
      <c r="H38" s="789">
        <f t="shared" si="2"/>
        <v>1575169</v>
      </c>
      <c r="I38" s="789">
        <f t="shared" si="2"/>
        <v>383000</v>
      </c>
      <c r="J38" s="789">
        <f t="shared" si="2"/>
        <v>0</v>
      </c>
      <c r="K38" s="789">
        <f t="shared" si="2"/>
        <v>1192169</v>
      </c>
      <c r="L38" s="789">
        <f t="shared" si="2"/>
        <v>4605505</v>
      </c>
      <c r="M38" s="789">
        <f t="shared" si="2"/>
        <v>1988005</v>
      </c>
      <c r="N38" s="789">
        <f t="shared" si="2"/>
        <v>0</v>
      </c>
      <c r="O38" s="789">
        <f t="shared" si="2"/>
        <v>0</v>
      </c>
      <c r="P38" s="789">
        <f t="shared" si="2"/>
        <v>2617500</v>
      </c>
    </row>
    <row r="39" spans="1:16" s="41" customFormat="1" ht="18.75" customHeight="1">
      <c r="A39" s="790"/>
      <c r="B39" s="790" t="s">
        <v>25</v>
      </c>
      <c r="C39" s="790"/>
      <c r="D39" s="791">
        <f aca="true" t="shared" si="3" ref="D39:O39">D17+D25+D33</f>
        <v>19074510</v>
      </c>
      <c r="E39" s="791">
        <f t="shared" si="3"/>
        <v>4879982</v>
      </c>
      <c r="F39" s="791">
        <f t="shared" si="3"/>
        <v>14194528</v>
      </c>
      <c r="G39" s="791">
        <f t="shared" si="3"/>
        <v>2690674</v>
      </c>
      <c r="H39" s="791">
        <f t="shared" si="3"/>
        <v>702669</v>
      </c>
      <c r="I39" s="791">
        <f t="shared" si="3"/>
        <v>383000</v>
      </c>
      <c r="J39" s="791">
        <f t="shared" si="3"/>
        <v>0</v>
      </c>
      <c r="K39" s="791">
        <f t="shared" si="3"/>
        <v>319669</v>
      </c>
      <c r="L39" s="791">
        <f t="shared" si="3"/>
        <v>1988005</v>
      </c>
      <c r="M39" s="791">
        <f t="shared" si="3"/>
        <v>1988005</v>
      </c>
      <c r="N39" s="791">
        <f t="shared" si="3"/>
        <v>0</v>
      </c>
      <c r="O39" s="791">
        <f t="shared" si="3"/>
        <v>0</v>
      </c>
      <c r="P39" s="791">
        <v>2617500</v>
      </c>
    </row>
    <row r="40" spans="1:16" ht="18.75" customHeight="1">
      <c r="A40" s="265"/>
      <c r="B40" s="242"/>
      <c r="C40" s="242"/>
      <c r="D40" s="79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</row>
    <row r="41" spans="1:16" ht="23.25" customHeight="1">
      <c r="A41" s="265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590"/>
      <c r="M41" s="575" t="s">
        <v>431</v>
      </c>
      <c r="N41" s="575"/>
      <c r="O41" s="242"/>
      <c r="P41" s="242"/>
    </row>
    <row r="42" spans="1:16" ht="24.75" customHeight="1">
      <c r="A42" s="265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113" t="s">
        <v>195</v>
      </c>
      <c r="N42" s="113"/>
      <c r="O42" s="242"/>
      <c r="P42" s="242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  <row r="567" ht="12.75">
      <c r="A567" s="41"/>
    </row>
    <row r="568" ht="12.75">
      <c r="A568" s="41"/>
    </row>
    <row r="569" ht="12.75">
      <c r="A569" s="41"/>
    </row>
    <row r="570" ht="12.75">
      <c r="A570" s="41"/>
    </row>
    <row r="571" ht="12.75">
      <c r="A571" s="41"/>
    </row>
    <row r="572" ht="12.75">
      <c r="A572" s="41"/>
    </row>
    <row r="573" ht="12.75">
      <c r="A573" s="41"/>
    </row>
    <row r="574" ht="12.75">
      <c r="A574" s="41"/>
    </row>
    <row r="575" ht="12.75">
      <c r="A575" s="41"/>
    </row>
    <row r="576" ht="12.75">
      <c r="A576" s="41"/>
    </row>
    <row r="577" ht="12.75">
      <c r="A577" s="41"/>
    </row>
    <row r="578" ht="12.75">
      <c r="A578" s="41"/>
    </row>
    <row r="579" ht="12.75">
      <c r="A579" s="41"/>
    </row>
    <row r="580" ht="12.75">
      <c r="A580" s="41"/>
    </row>
    <row r="581" ht="12.75">
      <c r="A581" s="41"/>
    </row>
    <row r="582" ht="12.75">
      <c r="A582" s="41"/>
    </row>
    <row r="583" ht="12.75">
      <c r="A583" s="41"/>
    </row>
    <row r="584" ht="12.75">
      <c r="A584" s="41"/>
    </row>
    <row r="585" ht="12.75">
      <c r="A585" s="41"/>
    </row>
    <row r="586" ht="12.75">
      <c r="A586" s="41"/>
    </row>
    <row r="587" ht="12.75">
      <c r="A587" s="41"/>
    </row>
    <row r="588" ht="12.75">
      <c r="A588" s="41"/>
    </row>
    <row r="589" ht="12.75">
      <c r="A589" s="41"/>
    </row>
    <row r="590" ht="12.75">
      <c r="A590" s="41"/>
    </row>
    <row r="591" ht="12.75">
      <c r="A591" s="41"/>
    </row>
    <row r="592" ht="12.75">
      <c r="A592" s="41"/>
    </row>
    <row r="593" ht="12.75">
      <c r="A593" s="41"/>
    </row>
    <row r="594" ht="12.75">
      <c r="A594" s="41"/>
    </row>
    <row r="595" ht="12.75">
      <c r="A595" s="41"/>
    </row>
    <row r="596" ht="12.75">
      <c r="A596" s="41"/>
    </row>
    <row r="597" ht="12.75">
      <c r="A597" s="41"/>
    </row>
    <row r="598" ht="12.75">
      <c r="A598" s="41"/>
    </row>
    <row r="599" ht="12.75">
      <c r="A599" s="41"/>
    </row>
    <row r="600" ht="12.75">
      <c r="A600" s="41"/>
    </row>
    <row r="601" ht="12.75">
      <c r="A601" s="41"/>
    </row>
    <row r="602" ht="12.75">
      <c r="A602" s="41"/>
    </row>
    <row r="603" ht="12.75">
      <c r="A603" s="41"/>
    </row>
    <row r="604" ht="12.75">
      <c r="A604" s="41"/>
    </row>
    <row r="605" ht="12.75">
      <c r="A605" s="41"/>
    </row>
    <row r="606" ht="12.75">
      <c r="A606" s="41"/>
    </row>
    <row r="607" ht="12.75">
      <c r="A607" s="41"/>
    </row>
    <row r="608" ht="12.75">
      <c r="A608" s="41"/>
    </row>
    <row r="609" ht="12.75">
      <c r="A609" s="41"/>
    </row>
    <row r="610" ht="12.75">
      <c r="A610" s="41"/>
    </row>
    <row r="611" ht="12.75">
      <c r="A611" s="41"/>
    </row>
    <row r="612" ht="12.75">
      <c r="A612" s="41"/>
    </row>
    <row r="613" ht="12.75">
      <c r="A613" s="41"/>
    </row>
    <row r="614" ht="12.75">
      <c r="A614" s="41"/>
    </row>
    <row r="615" ht="12.75">
      <c r="A615" s="41"/>
    </row>
    <row r="616" ht="12.75">
      <c r="A616" s="41"/>
    </row>
    <row r="617" ht="12.75">
      <c r="A617" s="41"/>
    </row>
    <row r="618" ht="12.75">
      <c r="A618" s="41"/>
    </row>
    <row r="619" ht="12.75">
      <c r="A619" s="41"/>
    </row>
    <row r="620" ht="12.75">
      <c r="A620" s="41"/>
    </row>
    <row r="621" ht="12.75">
      <c r="A621" s="41"/>
    </row>
    <row r="622" ht="12.75">
      <c r="A622" s="41"/>
    </row>
    <row r="623" ht="12.75">
      <c r="A623" s="41"/>
    </row>
    <row r="624" ht="12.75">
      <c r="A624" s="41"/>
    </row>
    <row r="625" ht="12.75">
      <c r="A625" s="41"/>
    </row>
    <row r="626" ht="12.75">
      <c r="A626" s="41"/>
    </row>
    <row r="627" ht="12.75">
      <c r="A627" s="41"/>
    </row>
    <row r="628" ht="12.75">
      <c r="A628" s="41"/>
    </row>
    <row r="629" ht="12.75">
      <c r="A629" s="41"/>
    </row>
    <row r="630" ht="12.75">
      <c r="A630" s="41"/>
    </row>
    <row r="631" ht="12.75">
      <c r="A631" s="41"/>
    </row>
    <row r="632" ht="12.75">
      <c r="A632" s="41"/>
    </row>
    <row r="633" ht="12.75">
      <c r="A633" s="41"/>
    </row>
    <row r="634" ht="12.75">
      <c r="A634" s="41"/>
    </row>
    <row r="635" ht="12.75">
      <c r="A635" s="41"/>
    </row>
    <row r="636" ht="12.75">
      <c r="A636" s="41"/>
    </row>
    <row r="637" ht="12.75">
      <c r="A637" s="41"/>
    </row>
    <row r="638" ht="12.75">
      <c r="A638" s="41"/>
    </row>
    <row r="639" ht="12.75">
      <c r="A639" s="41"/>
    </row>
    <row r="640" ht="12.75">
      <c r="A640" s="41"/>
    </row>
    <row r="641" ht="12.75">
      <c r="A641" s="41"/>
    </row>
    <row r="642" ht="12.75">
      <c r="A642" s="41"/>
    </row>
    <row r="643" ht="12.75">
      <c r="A643" s="41"/>
    </row>
    <row r="644" ht="12.75">
      <c r="A644" s="41"/>
    </row>
    <row r="645" ht="12.75">
      <c r="A645" s="41"/>
    </row>
    <row r="646" ht="12.75">
      <c r="A646" s="41"/>
    </row>
    <row r="647" ht="12.75">
      <c r="A647" s="41"/>
    </row>
    <row r="648" ht="12.75">
      <c r="A648" s="41"/>
    </row>
    <row r="649" ht="12.75">
      <c r="A649" s="41"/>
    </row>
    <row r="650" ht="12.75">
      <c r="A650" s="41"/>
    </row>
    <row r="651" ht="12.75">
      <c r="A651" s="41"/>
    </row>
    <row r="652" ht="12.75">
      <c r="A652" s="41"/>
    </row>
    <row r="653" ht="12.75">
      <c r="A653" s="41"/>
    </row>
    <row r="654" ht="12.75">
      <c r="A654" s="41"/>
    </row>
    <row r="655" ht="12.75">
      <c r="A655" s="41"/>
    </row>
    <row r="656" ht="12.75">
      <c r="A656" s="41"/>
    </row>
    <row r="657" ht="12.75">
      <c r="A657" s="41"/>
    </row>
    <row r="658" ht="12.75">
      <c r="A658" s="41"/>
    </row>
    <row r="659" ht="12.75">
      <c r="A659" s="41"/>
    </row>
    <row r="660" ht="12.75">
      <c r="A660" s="41"/>
    </row>
    <row r="661" ht="12.75">
      <c r="A661" s="41"/>
    </row>
    <row r="662" ht="12.75">
      <c r="A662" s="41"/>
    </row>
    <row r="663" ht="12.75">
      <c r="A663" s="41"/>
    </row>
    <row r="664" ht="12.75">
      <c r="A664" s="41"/>
    </row>
    <row r="665" ht="12.75">
      <c r="A665" s="41"/>
    </row>
    <row r="666" ht="12.75">
      <c r="A666" s="41"/>
    </row>
    <row r="667" ht="12.75">
      <c r="A667" s="41"/>
    </row>
    <row r="668" ht="12.75">
      <c r="A668" s="41"/>
    </row>
    <row r="669" ht="12.75">
      <c r="A669" s="41"/>
    </row>
    <row r="670" ht="12.75">
      <c r="A670" s="41"/>
    </row>
    <row r="671" ht="12.75">
      <c r="A671" s="41"/>
    </row>
    <row r="672" ht="12.75">
      <c r="A672" s="41"/>
    </row>
    <row r="673" ht="12.75">
      <c r="A673" s="41"/>
    </row>
    <row r="674" ht="12.75">
      <c r="A674" s="41"/>
    </row>
    <row r="675" ht="12.75">
      <c r="A675" s="41"/>
    </row>
    <row r="676" ht="12.75">
      <c r="A676" s="41"/>
    </row>
    <row r="677" ht="12.75">
      <c r="A677" s="41"/>
    </row>
    <row r="678" ht="12.75">
      <c r="A678" s="41"/>
    </row>
    <row r="679" ht="12.75">
      <c r="A679" s="41"/>
    </row>
    <row r="680" ht="12.75">
      <c r="A680" s="41"/>
    </row>
    <row r="681" ht="12.75">
      <c r="A681" s="41"/>
    </row>
    <row r="682" ht="12.75">
      <c r="A682" s="41"/>
    </row>
    <row r="683" ht="12.75">
      <c r="A683" s="41"/>
    </row>
    <row r="684" ht="12.75">
      <c r="A684" s="41"/>
    </row>
    <row r="685" ht="12.75">
      <c r="A685" s="41"/>
    </row>
    <row r="686" ht="12.75">
      <c r="A686" s="41"/>
    </row>
    <row r="687" ht="12.75">
      <c r="A687" s="41"/>
    </row>
    <row r="688" ht="12.75">
      <c r="A688" s="41"/>
    </row>
    <row r="689" ht="12.75">
      <c r="A689" s="41"/>
    </row>
    <row r="690" ht="12.75">
      <c r="A690" s="41"/>
    </row>
    <row r="691" ht="12.75">
      <c r="A691" s="41"/>
    </row>
    <row r="692" ht="12.75">
      <c r="A692" s="41"/>
    </row>
    <row r="693" ht="12.75">
      <c r="A693" s="41"/>
    </row>
    <row r="694" ht="12.75">
      <c r="A694" s="41"/>
    </row>
    <row r="695" ht="12.75">
      <c r="A695" s="41"/>
    </row>
    <row r="696" ht="12.75">
      <c r="A696" s="41"/>
    </row>
    <row r="697" ht="12.75">
      <c r="A697" s="41"/>
    </row>
    <row r="698" ht="12.75">
      <c r="A698" s="41"/>
    </row>
    <row r="699" ht="12.75">
      <c r="A699" s="41"/>
    </row>
    <row r="700" ht="12.75">
      <c r="A700" s="41"/>
    </row>
    <row r="701" ht="12.75">
      <c r="A701" s="41"/>
    </row>
    <row r="702" ht="12.75">
      <c r="A702" s="41"/>
    </row>
    <row r="703" ht="12.75">
      <c r="A703" s="41"/>
    </row>
    <row r="704" ht="12.75">
      <c r="A704" s="41"/>
    </row>
    <row r="705" ht="12.75">
      <c r="A705" s="41"/>
    </row>
    <row r="706" ht="12.75">
      <c r="A706" s="41"/>
    </row>
    <row r="707" ht="12.75">
      <c r="A707" s="41"/>
    </row>
    <row r="708" ht="12.75">
      <c r="A708" s="41"/>
    </row>
    <row r="709" ht="12.75">
      <c r="A709" s="41"/>
    </row>
    <row r="710" ht="12.75">
      <c r="A710" s="41"/>
    </row>
    <row r="711" ht="12.75">
      <c r="A711" s="41"/>
    </row>
    <row r="712" ht="12.75">
      <c r="A712" s="41"/>
    </row>
    <row r="713" ht="12.75">
      <c r="A713" s="41"/>
    </row>
    <row r="714" ht="12.75">
      <c r="A714" s="41"/>
    </row>
    <row r="715" ht="12.75">
      <c r="A715" s="41"/>
    </row>
    <row r="716" ht="12.75">
      <c r="A716" s="41"/>
    </row>
    <row r="717" ht="12.75">
      <c r="A717" s="41"/>
    </row>
    <row r="718" ht="12.75">
      <c r="A718" s="41"/>
    </row>
    <row r="719" ht="12.75">
      <c r="A719" s="41"/>
    </row>
    <row r="720" ht="12.75">
      <c r="A720" s="41"/>
    </row>
    <row r="721" ht="12.75">
      <c r="A721" s="41"/>
    </row>
    <row r="722" ht="12.75">
      <c r="A722" s="41"/>
    </row>
    <row r="723" ht="12.75">
      <c r="A723" s="41"/>
    </row>
    <row r="724" ht="12.75">
      <c r="A724" s="41"/>
    </row>
    <row r="725" ht="12.75">
      <c r="A725" s="41"/>
    </row>
    <row r="726" ht="12.75">
      <c r="A726" s="41"/>
    </row>
    <row r="727" ht="12.75">
      <c r="A727" s="41"/>
    </row>
    <row r="728" ht="12.75">
      <c r="A728" s="41"/>
    </row>
    <row r="729" ht="12.75">
      <c r="A729" s="41"/>
    </row>
    <row r="730" ht="12.75">
      <c r="A730" s="41"/>
    </row>
    <row r="731" ht="12.75">
      <c r="A731" s="41"/>
    </row>
    <row r="732" ht="12.75">
      <c r="A732" s="41"/>
    </row>
    <row r="733" ht="12.75">
      <c r="A733" s="41"/>
    </row>
    <row r="734" ht="12.75">
      <c r="A734" s="41"/>
    </row>
    <row r="735" ht="12.75">
      <c r="A735" s="41"/>
    </row>
    <row r="736" ht="12.75">
      <c r="A736" s="41"/>
    </row>
    <row r="737" ht="12.75">
      <c r="A737" s="41"/>
    </row>
    <row r="738" ht="12.75">
      <c r="A738" s="41"/>
    </row>
    <row r="739" ht="12.75">
      <c r="A739" s="41"/>
    </row>
    <row r="740" ht="12.75">
      <c r="A740" s="41"/>
    </row>
    <row r="741" ht="12.75">
      <c r="A741" s="41"/>
    </row>
    <row r="742" ht="12.75">
      <c r="A742" s="41"/>
    </row>
    <row r="743" ht="12.75">
      <c r="A743" s="41"/>
    </row>
    <row r="744" ht="12.75">
      <c r="A744" s="41"/>
    </row>
    <row r="745" ht="12.75">
      <c r="A745" s="41"/>
    </row>
    <row r="746" ht="12.75">
      <c r="A746" s="41"/>
    </row>
    <row r="747" ht="12.75">
      <c r="A747" s="41"/>
    </row>
    <row r="748" ht="12.75">
      <c r="A748" s="41"/>
    </row>
    <row r="749" ht="12.75">
      <c r="A749" s="41"/>
    </row>
    <row r="750" ht="12.75">
      <c r="A750" s="41"/>
    </row>
    <row r="751" ht="12.75">
      <c r="A751" s="41"/>
    </row>
    <row r="752" ht="12.75">
      <c r="A752" s="41"/>
    </row>
    <row r="753" ht="12.75">
      <c r="A753" s="41"/>
    </row>
    <row r="754" ht="12.75">
      <c r="A754" s="41"/>
    </row>
    <row r="755" ht="12.75">
      <c r="A755" s="41"/>
    </row>
    <row r="756" ht="12.75">
      <c r="A756" s="41"/>
    </row>
    <row r="757" ht="12.75">
      <c r="A757" s="41"/>
    </row>
    <row r="758" ht="12.75">
      <c r="A758" s="41"/>
    </row>
    <row r="759" ht="12.75">
      <c r="A759" s="41"/>
    </row>
    <row r="760" ht="12.75">
      <c r="A760" s="41"/>
    </row>
    <row r="761" ht="12.75">
      <c r="A761" s="41"/>
    </row>
    <row r="762" ht="12.75">
      <c r="A762" s="41"/>
    </row>
    <row r="763" ht="12.75">
      <c r="A763" s="41"/>
    </row>
    <row r="764" ht="12.75">
      <c r="A764" s="41"/>
    </row>
    <row r="765" ht="12.75">
      <c r="A765" s="41"/>
    </row>
    <row r="766" ht="12.75">
      <c r="A766" s="41"/>
    </row>
    <row r="767" ht="12.75">
      <c r="A767" s="41"/>
    </row>
    <row r="768" ht="12.75">
      <c r="A768" s="41"/>
    </row>
    <row r="769" ht="12.75">
      <c r="A769" s="41"/>
    </row>
    <row r="770" ht="12.75">
      <c r="A770" s="41"/>
    </row>
    <row r="771" ht="12.75">
      <c r="A771" s="41"/>
    </row>
    <row r="772" ht="12.75">
      <c r="A772" s="41"/>
    </row>
    <row r="773" ht="12.75">
      <c r="A773" s="41"/>
    </row>
    <row r="774" ht="12.75">
      <c r="A774" s="41"/>
    </row>
    <row r="775" ht="12.75">
      <c r="A775" s="41"/>
    </row>
    <row r="776" ht="12.75">
      <c r="A776" s="41"/>
    </row>
    <row r="777" ht="12.75">
      <c r="A777" s="41"/>
    </row>
    <row r="778" ht="12.75">
      <c r="A778" s="41"/>
    </row>
    <row r="779" ht="12.75">
      <c r="A779" s="41"/>
    </row>
    <row r="780" ht="12.75">
      <c r="A780" s="41"/>
    </row>
    <row r="781" ht="12.75">
      <c r="A781" s="41"/>
    </row>
    <row r="782" ht="12.75">
      <c r="A782" s="41"/>
    </row>
    <row r="783" ht="12.75">
      <c r="A783" s="41"/>
    </row>
    <row r="784" ht="12.75">
      <c r="A784" s="41"/>
    </row>
    <row r="785" ht="12.75">
      <c r="A785" s="41"/>
    </row>
    <row r="786" ht="12.75">
      <c r="A786" s="41"/>
    </row>
    <row r="787" ht="12.75">
      <c r="A787" s="41"/>
    </row>
    <row r="788" ht="12.75">
      <c r="A788" s="41"/>
    </row>
    <row r="789" ht="12.75">
      <c r="A789" s="41"/>
    </row>
    <row r="790" ht="12.75">
      <c r="A790" s="41"/>
    </row>
    <row r="791" ht="12.75">
      <c r="A791" s="41"/>
    </row>
    <row r="792" ht="12.75">
      <c r="A792" s="41"/>
    </row>
    <row r="793" ht="12.75">
      <c r="A793" s="41"/>
    </row>
    <row r="794" ht="12.75">
      <c r="A794" s="41"/>
    </row>
    <row r="795" ht="12.75">
      <c r="A795" s="41"/>
    </row>
    <row r="796" ht="12.75">
      <c r="A796" s="41"/>
    </row>
    <row r="797" ht="12.75">
      <c r="A797" s="41"/>
    </row>
    <row r="798" ht="12.75">
      <c r="A798" s="41"/>
    </row>
    <row r="799" ht="12.75">
      <c r="A799" s="41"/>
    </row>
    <row r="800" ht="12.75">
      <c r="A800" s="41"/>
    </row>
    <row r="801" ht="12.75">
      <c r="A801" s="41"/>
    </row>
    <row r="802" ht="12.75">
      <c r="A802" s="41"/>
    </row>
    <row r="803" ht="12.75">
      <c r="A803" s="41"/>
    </row>
    <row r="804" ht="12.75">
      <c r="A804" s="41"/>
    </row>
    <row r="805" ht="12.75">
      <c r="A805" s="41"/>
    </row>
    <row r="806" ht="12.75">
      <c r="A806" s="41"/>
    </row>
    <row r="807" ht="12.75">
      <c r="A807" s="41"/>
    </row>
    <row r="808" ht="12.75">
      <c r="A808" s="41"/>
    </row>
    <row r="809" ht="12.75">
      <c r="A809" s="41"/>
    </row>
    <row r="810" ht="12.75">
      <c r="A810" s="41"/>
    </row>
    <row r="811" ht="12.75">
      <c r="A811" s="41"/>
    </row>
    <row r="812" ht="12.75">
      <c r="A812" s="41"/>
    </row>
    <row r="813" ht="12.75">
      <c r="A813" s="41"/>
    </row>
    <row r="814" ht="12.75">
      <c r="A814" s="41"/>
    </row>
    <row r="815" ht="12.75">
      <c r="A815" s="41"/>
    </row>
    <row r="816" ht="12.75">
      <c r="A816" s="41"/>
    </row>
    <row r="817" ht="12.75">
      <c r="A817" s="41"/>
    </row>
    <row r="818" ht="12.75">
      <c r="A818" s="41"/>
    </row>
    <row r="819" ht="12.75">
      <c r="A819" s="41"/>
    </row>
    <row r="820" ht="12.75">
      <c r="A820" s="41"/>
    </row>
    <row r="821" ht="12.75">
      <c r="A821" s="41"/>
    </row>
    <row r="822" ht="12.75">
      <c r="A822" s="41"/>
    </row>
    <row r="823" ht="12.75">
      <c r="A823" s="41"/>
    </row>
    <row r="824" ht="12.75">
      <c r="A824" s="41"/>
    </row>
    <row r="825" ht="12.75">
      <c r="A825" s="41"/>
    </row>
    <row r="826" ht="12.75">
      <c r="A826" s="41"/>
    </row>
    <row r="827" ht="12.75">
      <c r="A827" s="41"/>
    </row>
    <row r="828" ht="12.75">
      <c r="A828" s="41"/>
    </row>
    <row r="829" ht="12.75">
      <c r="A829" s="41"/>
    </row>
    <row r="830" ht="12.75">
      <c r="A830" s="41"/>
    </row>
    <row r="831" ht="12.75">
      <c r="A831" s="41"/>
    </row>
    <row r="832" ht="12.75">
      <c r="A832" s="41"/>
    </row>
    <row r="833" ht="12.75">
      <c r="A833" s="41"/>
    </row>
    <row r="834" ht="12.75">
      <c r="A834" s="41"/>
    </row>
    <row r="835" ht="12.75">
      <c r="A835" s="41"/>
    </row>
    <row r="836" ht="12.75">
      <c r="A836" s="41"/>
    </row>
    <row r="837" ht="12.75">
      <c r="A837" s="41"/>
    </row>
    <row r="838" ht="12.75">
      <c r="A838" s="41"/>
    </row>
    <row r="839" ht="12.75">
      <c r="A839" s="41"/>
    </row>
    <row r="840" ht="12.75">
      <c r="A840" s="41"/>
    </row>
    <row r="841" ht="12.75">
      <c r="A841" s="41"/>
    </row>
    <row r="842" ht="12.75">
      <c r="A842" s="41"/>
    </row>
    <row r="843" ht="12.75">
      <c r="A843" s="41"/>
    </row>
    <row r="844" ht="12.75">
      <c r="A844" s="41"/>
    </row>
    <row r="845" ht="12.75">
      <c r="A845" s="41"/>
    </row>
    <row r="846" ht="12.75">
      <c r="A846" s="41"/>
    </row>
    <row r="847" ht="12.75">
      <c r="A847" s="41"/>
    </row>
    <row r="848" ht="12.75">
      <c r="A848" s="41"/>
    </row>
    <row r="849" ht="12.75">
      <c r="A849" s="41"/>
    </row>
    <row r="850" ht="12.75">
      <c r="A850" s="41"/>
    </row>
    <row r="851" ht="12.75">
      <c r="A851" s="41"/>
    </row>
    <row r="852" ht="12.75">
      <c r="A852" s="41"/>
    </row>
    <row r="853" ht="12.75">
      <c r="A853" s="41"/>
    </row>
    <row r="854" ht="12.75">
      <c r="A854" s="41"/>
    </row>
    <row r="855" ht="12.75">
      <c r="A855" s="41"/>
    </row>
    <row r="856" ht="12.75">
      <c r="A856" s="41"/>
    </row>
    <row r="857" ht="12.75">
      <c r="A857" s="41"/>
    </row>
    <row r="858" ht="12.75">
      <c r="A858" s="41"/>
    </row>
    <row r="859" ht="12.75">
      <c r="A859" s="41"/>
    </row>
    <row r="860" ht="12.75">
      <c r="A860" s="41"/>
    </row>
    <row r="861" ht="12.75">
      <c r="A861" s="41"/>
    </row>
    <row r="862" ht="12.75">
      <c r="A862" s="41"/>
    </row>
    <row r="863" ht="12.75">
      <c r="A863" s="41"/>
    </row>
    <row r="864" ht="12.75">
      <c r="A864" s="41"/>
    </row>
    <row r="865" ht="12.75">
      <c r="A865" s="41"/>
    </row>
    <row r="866" ht="12.75">
      <c r="A866" s="41"/>
    </row>
    <row r="867" ht="12.75">
      <c r="A867" s="41"/>
    </row>
    <row r="868" ht="12.75">
      <c r="A868" s="41"/>
    </row>
    <row r="869" ht="12.75">
      <c r="A869" s="41"/>
    </row>
    <row r="870" ht="12.75">
      <c r="A870" s="41"/>
    </row>
    <row r="871" ht="12.75">
      <c r="A871" s="41"/>
    </row>
    <row r="872" ht="12.75">
      <c r="A872" s="41"/>
    </row>
    <row r="873" ht="12.75">
      <c r="A873" s="41"/>
    </row>
    <row r="874" ht="12.75">
      <c r="A874" s="41"/>
    </row>
    <row r="875" ht="12.75">
      <c r="A875" s="41"/>
    </row>
    <row r="876" ht="12.75">
      <c r="A876" s="41"/>
    </row>
    <row r="877" ht="12.75">
      <c r="A877" s="41"/>
    </row>
    <row r="878" ht="12.75">
      <c r="A878" s="41"/>
    </row>
    <row r="879" ht="12.75">
      <c r="A879" s="41"/>
    </row>
    <row r="880" ht="12.75">
      <c r="A880" s="41"/>
    </row>
    <row r="881" ht="12.75">
      <c r="A881" s="41"/>
    </row>
    <row r="882" ht="12.75">
      <c r="A882" s="41"/>
    </row>
    <row r="883" ht="12.75">
      <c r="A883" s="41"/>
    </row>
    <row r="884" ht="12.75">
      <c r="A884" s="41"/>
    </row>
    <row r="885" ht="12.75">
      <c r="A885" s="41"/>
    </row>
    <row r="886" ht="12.75">
      <c r="A886" s="41"/>
    </row>
    <row r="887" ht="12.75">
      <c r="A887" s="41"/>
    </row>
    <row r="888" ht="12.75">
      <c r="A888" s="41"/>
    </row>
    <row r="889" ht="12.75">
      <c r="A889" s="41"/>
    </row>
    <row r="890" ht="12.75">
      <c r="A890" s="41"/>
    </row>
    <row r="891" ht="12.75">
      <c r="A891" s="41"/>
    </row>
    <row r="892" ht="12.75">
      <c r="A892" s="41"/>
    </row>
    <row r="893" ht="12.75">
      <c r="A893" s="41"/>
    </row>
    <row r="894" ht="12.75">
      <c r="A894" s="41"/>
    </row>
    <row r="895" ht="12.75">
      <c r="A895" s="41"/>
    </row>
    <row r="896" ht="12.75">
      <c r="A896" s="41"/>
    </row>
    <row r="897" ht="12.75">
      <c r="A897" s="41"/>
    </row>
    <row r="898" ht="12.75">
      <c r="A898" s="41"/>
    </row>
    <row r="899" ht="12.75">
      <c r="A899" s="41"/>
    </row>
    <row r="900" ht="12.75">
      <c r="A900" s="41"/>
    </row>
    <row r="901" ht="12.75">
      <c r="A901" s="41"/>
    </row>
    <row r="902" ht="12.75">
      <c r="A902" s="41"/>
    </row>
    <row r="903" ht="12.75">
      <c r="A903" s="41"/>
    </row>
    <row r="904" ht="12.75">
      <c r="A904" s="41"/>
    </row>
    <row r="905" ht="12.75">
      <c r="A905" s="41"/>
    </row>
    <row r="906" ht="12.75">
      <c r="A906" s="41"/>
    </row>
    <row r="907" ht="12.75">
      <c r="A907" s="41"/>
    </row>
    <row r="908" ht="12.75">
      <c r="A908" s="41"/>
    </row>
    <row r="909" ht="12.75">
      <c r="A909" s="41"/>
    </row>
    <row r="910" ht="12.75">
      <c r="A910" s="41"/>
    </row>
    <row r="911" ht="12.75">
      <c r="A911" s="41"/>
    </row>
    <row r="912" ht="12.75">
      <c r="A912" s="41"/>
    </row>
    <row r="913" ht="12.75">
      <c r="A913" s="41"/>
    </row>
    <row r="914" ht="12.75">
      <c r="A914" s="41"/>
    </row>
    <row r="915" ht="12.75">
      <c r="A915" s="41"/>
    </row>
    <row r="916" ht="12.75">
      <c r="A916" s="41"/>
    </row>
    <row r="917" ht="12.75">
      <c r="A917" s="41"/>
    </row>
    <row r="918" ht="12.75">
      <c r="A918" s="41"/>
    </row>
    <row r="919" ht="12.75">
      <c r="A919" s="41"/>
    </row>
    <row r="920" ht="12.75">
      <c r="A920" s="41"/>
    </row>
    <row r="921" ht="12.75">
      <c r="A921" s="41"/>
    </row>
    <row r="922" ht="12.75">
      <c r="A922" s="41"/>
    </row>
    <row r="923" ht="12.75">
      <c r="A923" s="41"/>
    </row>
    <row r="924" ht="12.75">
      <c r="A924" s="41"/>
    </row>
    <row r="925" ht="12.75">
      <c r="A925" s="41"/>
    </row>
    <row r="926" ht="12.75">
      <c r="A926" s="41"/>
    </row>
    <row r="927" ht="12.75">
      <c r="A927" s="41"/>
    </row>
    <row r="928" ht="12.75">
      <c r="A928" s="41"/>
    </row>
    <row r="929" ht="12.75">
      <c r="A929" s="41"/>
    </row>
    <row r="930" ht="12.75">
      <c r="A930" s="41"/>
    </row>
    <row r="931" ht="12.75">
      <c r="A931" s="41"/>
    </row>
    <row r="932" ht="12.75">
      <c r="A932" s="41"/>
    </row>
    <row r="933" ht="12.75">
      <c r="A933" s="41"/>
    </row>
    <row r="934" ht="12.75">
      <c r="A934" s="41"/>
    </row>
    <row r="935" ht="12.75">
      <c r="A935" s="41"/>
    </row>
    <row r="936" ht="12.75">
      <c r="A936" s="41"/>
    </row>
    <row r="937" ht="12.75">
      <c r="A937" s="41"/>
    </row>
    <row r="938" ht="12.75">
      <c r="A938" s="41"/>
    </row>
    <row r="939" ht="12.75">
      <c r="A939" s="41"/>
    </row>
    <row r="940" ht="12.75">
      <c r="A940" s="41"/>
    </row>
    <row r="941" ht="12.75">
      <c r="A941" s="41"/>
    </row>
    <row r="942" ht="12.75">
      <c r="A942" s="41"/>
    </row>
    <row r="943" ht="12.75">
      <c r="A943" s="41"/>
    </row>
    <row r="944" ht="12.75">
      <c r="A944" s="41"/>
    </row>
    <row r="945" ht="12.75">
      <c r="A945" s="41"/>
    </row>
    <row r="946" ht="12.75">
      <c r="A946" s="41"/>
    </row>
    <row r="947" ht="12.75">
      <c r="A947" s="41"/>
    </row>
    <row r="948" ht="12.75">
      <c r="A948" s="41"/>
    </row>
    <row r="949" ht="12.75">
      <c r="A949" s="41"/>
    </row>
    <row r="950" ht="12.75">
      <c r="A950" s="41"/>
    </row>
    <row r="951" ht="12.75">
      <c r="A951" s="41"/>
    </row>
    <row r="952" ht="12.75">
      <c r="A952" s="41"/>
    </row>
    <row r="953" ht="12.75">
      <c r="A953" s="41"/>
    </row>
    <row r="954" ht="12.75">
      <c r="A954" s="41"/>
    </row>
    <row r="955" ht="12.75">
      <c r="A955" s="41"/>
    </row>
    <row r="956" ht="12.75">
      <c r="A956" s="41"/>
    </row>
    <row r="957" ht="12.75">
      <c r="A957" s="41"/>
    </row>
    <row r="958" ht="12.75">
      <c r="A958" s="41"/>
    </row>
    <row r="959" ht="12.75">
      <c r="A959" s="41"/>
    </row>
    <row r="960" ht="12.75">
      <c r="A960" s="41"/>
    </row>
    <row r="961" ht="12.75">
      <c r="A961" s="41"/>
    </row>
    <row r="962" ht="12.75">
      <c r="A962" s="41"/>
    </row>
    <row r="963" ht="12.75">
      <c r="A963" s="41"/>
    </row>
    <row r="964" ht="12.75">
      <c r="A964" s="41"/>
    </row>
    <row r="965" ht="12.75">
      <c r="A965" s="41"/>
    </row>
    <row r="966" ht="12.75">
      <c r="A966" s="41"/>
    </row>
    <row r="967" ht="12.75">
      <c r="A967" s="41"/>
    </row>
    <row r="968" ht="12.75">
      <c r="A968" s="41"/>
    </row>
    <row r="969" ht="12.75">
      <c r="A969" s="41"/>
    </row>
    <row r="970" ht="12.75">
      <c r="A970" s="41"/>
    </row>
    <row r="971" ht="12.75">
      <c r="A971" s="41"/>
    </row>
    <row r="972" ht="12.75">
      <c r="A972" s="41"/>
    </row>
    <row r="973" ht="12.75">
      <c r="A973" s="41"/>
    </row>
    <row r="974" ht="12.75">
      <c r="A974" s="41"/>
    </row>
    <row r="975" ht="12.75">
      <c r="A975" s="41"/>
    </row>
    <row r="976" ht="12.75">
      <c r="A976" s="41"/>
    </row>
    <row r="977" ht="12.75">
      <c r="A977" s="41"/>
    </row>
    <row r="978" ht="12.75">
      <c r="A978" s="41"/>
    </row>
    <row r="979" ht="12.75">
      <c r="A979" s="41"/>
    </row>
    <row r="980" ht="12.75">
      <c r="A980" s="41"/>
    </row>
    <row r="981" ht="12.75">
      <c r="A981" s="41"/>
    </row>
    <row r="982" ht="12.75">
      <c r="A982" s="41"/>
    </row>
    <row r="983" ht="12.75">
      <c r="A983" s="41"/>
    </row>
    <row r="984" ht="12.75">
      <c r="A984" s="41"/>
    </row>
    <row r="985" ht="12.75">
      <c r="A985" s="41"/>
    </row>
    <row r="986" ht="12.75">
      <c r="A986" s="41"/>
    </row>
    <row r="987" ht="12.75">
      <c r="A987" s="41"/>
    </row>
    <row r="988" ht="12.75">
      <c r="A988" s="41"/>
    </row>
    <row r="989" ht="12.75">
      <c r="A989" s="41"/>
    </row>
    <row r="990" ht="12.75">
      <c r="A990" s="41"/>
    </row>
    <row r="991" ht="12.75">
      <c r="A991" s="41"/>
    </row>
    <row r="992" ht="12.75">
      <c r="A992" s="41"/>
    </row>
    <row r="993" ht="12.75">
      <c r="A993" s="41"/>
    </row>
    <row r="994" ht="12.75">
      <c r="A994" s="41"/>
    </row>
    <row r="995" ht="12.75">
      <c r="A995" s="41"/>
    </row>
    <row r="996" ht="12.75">
      <c r="A996" s="41"/>
    </row>
    <row r="997" ht="12.75">
      <c r="A997" s="41"/>
    </row>
    <row r="998" ht="12.75">
      <c r="A998" s="41"/>
    </row>
    <row r="999" ht="12.75">
      <c r="A999" s="41"/>
    </row>
    <row r="1000" ht="12.75">
      <c r="A1000" s="41"/>
    </row>
    <row r="1001" ht="12.75">
      <c r="A1001" s="41"/>
    </row>
    <row r="1002" ht="12.75">
      <c r="A1002" s="41"/>
    </row>
    <row r="1003" ht="12.75">
      <c r="A1003" s="41"/>
    </row>
    <row r="1004" ht="12.75">
      <c r="A1004" s="41"/>
    </row>
    <row r="1005" ht="12.75">
      <c r="A1005" s="41"/>
    </row>
    <row r="1006" ht="12.75">
      <c r="A1006" s="41"/>
    </row>
    <row r="1007" ht="12.75">
      <c r="A1007" s="41"/>
    </row>
    <row r="1008" ht="12.75">
      <c r="A1008" s="41"/>
    </row>
    <row r="1009" ht="12.75">
      <c r="A1009" s="41"/>
    </row>
    <row r="1010" ht="12.75">
      <c r="A1010" s="41"/>
    </row>
    <row r="1011" ht="12.75">
      <c r="A1011" s="41"/>
    </row>
    <row r="1012" ht="12.75">
      <c r="A1012" s="41"/>
    </row>
    <row r="1013" ht="12.75">
      <c r="A1013" s="41"/>
    </row>
    <row r="1014" ht="12.75">
      <c r="A1014" s="41"/>
    </row>
    <row r="1015" ht="12.75">
      <c r="A1015" s="41"/>
    </row>
    <row r="1016" ht="12.75">
      <c r="A1016" s="41"/>
    </row>
    <row r="1017" ht="12.75">
      <c r="A1017" s="41"/>
    </row>
    <row r="1018" ht="12.75">
      <c r="A1018" s="41"/>
    </row>
    <row r="1019" ht="12.75">
      <c r="A1019" s="41"/>
    </row>
    <row r="1020" ht="12.75">
      <c r="A1020" s="41"/>
    </row>
    <row r="1021" ht="12.75">
      <c r="A1021" s="41"/>
    </row>
    <row r="1022" ht="12.75">
      <c r="A1022" s="41"/>
    </row>
    <row r="1023" ht="12.75">
      <c r="A1023" s="41"/>
    </row>
    <row r="1024" ht="12.75">
      <c r="A1024" s="41"/>
    </row>
    <row r="1025" ht="12.75">
      <c r="A1025" s="41"/>
    </row>
    <row r="1026" ht="12.75">
      <c r="A1026" s="41"/>
    </row>
    <row r="1027" ht="12.75">
      <c r="A1027" s="41"/>
    </row>
    <row r="1028" ht="12.75">
      <c r="A1028" s="41"/>
    </row>
    <row r="1029" ht="12.75">
      <c r="A1029" s="41"/>
    </row>
    <row r="1030" ht="12.75">
      <c r="A1030" s="41"/>
    </row>
    <row r="1031" ht="12.75">
      <c r="A1031" s="41"/>
    </row>
    <row r="1032" ht="12.75">
      <c r="A1032" s="41"/>
    </row>
    <row r="1033" ht="12.75">
      <c r="A1033" s="41"/>
    </row>
    <row r="1034" ht="12.75">
      <c r="A1034" s="41"/>
    </row>
    <row r="1035" ht="12.75">
      <c r="A1035" s="41"/>
    </row>
    <row r="1036" ht="12.75">
      <c r="A1036" s="41"/>
    </row>
    <row r="1037" ht="12.75">
      <c r="A1037" s="41"/>
    </row>
    <row r="1038" ht="12.75">
      <c r="A1038" s="41"/>
    </row>
    <row r="1039" ht="12.75">
      <c r="A1039" s="41"/>
    </row>
    <row r="1040" ht="12.75">
      <c r="A1040" s="41"/>
    </row>
    <row r="1041" ht="12.75">
      <c r="A1041" s="41"/>
    </row>
    <row r="1042" ht="12.75">
      <c r="A1042" s="41"/>
    </row>
    <row r="1043" ht="12.75">
      <c r="A1043" s="41"/>
    </row>
    <row r="1044" ht="12.75">
      <c r="A1044" s="41"/>
    </row>
    <row r="1045" ht="12.75">
      <c r="A1045" s="41"/>
    </row>
    <row r="1046" ht="12.75">
      <c r="A1046" s="41"/>
    </row>
    <row r="1047" ht="12.75">
      <c r="A1047" s="41"/>
    </row>
    <row r="1048" ht="12.75">
      <c r="A1048" s="41"/>
    </row>
    <row r="1049" ht="12.75">
      <c r="A1049" s="41"/>
    </row>
    <row r="1050" ht="12.75">
      <c r="A1050" s="41"/>
    </row>
    <row r="1051" ht="12.75">
      <c r="A1051" s="41"/>
    </row>
    <row r="1052" ht="12.75">
      <c r="A1052" s="41"/>
    </row>
    <row r="1053" ht="12.75">
      <c r="A1053" s="41"/>
    </row>
    <row r="1054" ht="12.75">
      <c r="A1054" s="41"/>
    </row>
    <row r="1055" ht="12.75">
      <c r="A1055" s="41"/>
    </row>
    <row r="1056" ht="12.75">
      <c r="A1056" s="41"/>
    </row>
    <row r="1057" ht="12.75">
      <c r="A1057" s="41"/>
    </row>
    <row r="1058" ht="12.75">
      <c r="A1058" s="41"/>
    </row>
    <row r="1059" ht="12.75">
      <c r="A1059" s="41"/>
    </row>
    <row r="1060" ht="12.75">
      <c r="A1060" s="41"/>
    </row>
    <row r="1061" ht="12.75">
      <c r="A1061" s="41"/>
    </row>
    <row r="1062" ht="12.75">
      <c r="A1062" s="41"/>
    </row>
    <row r="1063" ht="12.75">
      <c r="A1063" s="41"/>
    </row>
    <row r="1064" ht="12.75">
      <c r="A1064" s="41"/>
    </row>
    <row r="1065" ht="12.75">
      <c r="A1065" s="41"/>
    </row>
  </sheetData>
  <mergeCells count="21">
    <mergeCell ref="A30:A37"/>
    <mergeCell ref="A14:A21"/>
    <mergeCell ref="A22:A29"/>
    <mergeCell ref="E7:F7"/>
    <mergeCell ref="D7:D12"/>
    <mergeCell ref="C7:C12"/>
    <mergeCell ref="B7:B12"/>
    <mergeCell ref="H9:P9"/>
    <mergeCell ref="G8:P8"/>
    <mergeCell ref="G7:P7"/>
    <mergeCell ref="G9:G12"/>
    <mergeCell ref="N2:P2"/>
    <mergeCell ref="A7:A12"/>
    <mergeCell ref="E8:E12"/>
    <mergeCell ref="F8:F12"/>
    <mergeCell ref="M11:P11"/>
    <mergeCell ref="L11:L12"/>
    <mergeCell ref="L10:P10"/>
    <mergeCell ref="I11:K11"/>
    <mergeCell ref="H11:H12"/>
    <mergeCell ref="H10:K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halina</cp:lastModifiedBy>
  <cp:lastPrinted>2005-11-11T13:28:31Z</cp:lastPrinted>
  <dcterms:created xsi:type="dcterms:W3CDTF">2002-03-22T09:59:04Z</dcterms:created>
  <dcterms:modified xsi:type="dcterms:W3CDTF">2005-10-31T14:33:41Z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